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15" yWindow="-15" windowWidth="12000" windowHeight="9990" tabRatio="870" activeTab="1"/>
  </bookViews>
  <sheets>
    <sheet name="postup" sheetId="20" r:id="rId1"/>
    <sheet name="INDEX" sheetId="6" r:id="rId2"/>
    <sheet name="data" sheetId="4" r:id="rId3"/>
    <sheet name="AKTIVA" sheetId="9" r:id="rId4"/>
    <sheet name="PASIVA" sheetId="13" r:id="rId5"/>
    <sheet name="VYSLEDOVKA" sheetId="15" r:id="rId6"/>
    <sheet name="ucty_synt" sheetId="1" state="hidden" r:id="rId7"/>
    <sheet name="radky_R" sheetId="5" state="hidden" r:id="rId8"/>
    <sheet name="radky_V" sheetId="16" state="hidden" r:id="rId9"/>
  </sheets>
  <externalReferences>
    <externalReference r:id="rId10"/>
  </externalReferences>
  <definedNames>
    <definedName name="_xlnm._FilterDatabase" localSheetId="3" hidden="1">AKTIVA!$A$7:$Q$75</definedName>
    <definedName name="_xlnm._FilterDatabase" localSheetId="2" hidden="1">data!$C$1:$Y$7</definedName>
    <definedName name="_xlnm._FilterDatabase" localSheetId="7" hidden="1">radky_R!$A$1:$O$144</definedName>
    <definedName name="_xlnm._FilterDatabase" localSheetId="6" hidden="1">ucty_synt!$A$1:$S$348</definedName>
    <definedName name="jazyk" localSheetId="0">[1]INDEX!$C$19</definedName>
    <definedName name="jazyk">INDEX!$E$17</definedName>
    <definedName name="_xlnm.Print_Titles" localSheetId="3">AKTIVA!$4:$7</definedName>
    <definedName name="_xlnm.Print_Titles" localSheetId="2">data!$1:$1</definedName>
    <definedName name="_xlnm.Print_Titles" localSheetId="4">PASIVA!$4:$7</definedName>
    <definedName name="_xlnm.Print_Titles" localSheetId="5">VYSLEDOVKA!$5:$7</definedName>
    <definedName name="_xlnm.Print_Area" localSheetId="3">AKTIVA!$F:$Q</definedName>
    <definedName name="_xlnm.Print_Area" localSheetId="1">INDEX!$B:$H</definedName>
    <definedName name="_xlnm.Print_Area" localSheetId="4">PASIVA!$F:$N</definedName>
    <definedName name="_xlnm.Print_Area" localSheetId="5">VYSLEDOVKA!$G:$O</definedName>
    <definedName name="zaokr" localSheetId="0">[1]INDEX!$D$17</definedName>
    <definedName name="zaokr">INDEX!$F$15</definedName>
  </definedNames>
  <calcPr calcId="145621"/>
</workbook>
</file>

<file path=xl/calcChain.xml><?xml version="1.0" encoding="utf-8"?>
<calcChain xmlns="http://schemas.openxmlformats.org/spreadsheetml/2006/main">
  <c r="N61" i="15" l="1"/>
  <c r="N59" i="15"/>
  <c r="N58" i="15"/>
  <c r="N54" i="15"/>
  <c r="N53" i="15"/>
  <c r="N52" i="15"/>
  <c r="N51" i="15"/>
  <c r="N49" i="15"/>
  <c r="N48" i="15"/>
  <c r="N47" i="15"/>
  <c r="N45" i="15"/>
  <c r="N44" i="15"/>
  <c r="N43" i="15"/>
  <c r="N41" i="15"/>
  <c r="N40" i="15"/>
  <c r="N39" i="15"/>
  <c r="N36" i="15"/>
  <c r="N35" i="15"/>
  <c r="N34" i="15"/>
  <c r="N33" i="15"/>
  <c r="N32" i="15"/>
  <c r="N30" i="15"/>
  <c r="N29" i="15"/>
  <c r="N28" i="15"/>
  <c r="N26" i="15"/>
  <c r="N25" i="15"/>
  <c r="N24" i="15"/>
  <c r="N23" i="15"/>
  <c r="N20" i="15"/>
  <c r="N19" i="15"/>
  <c r="N17" i="15"/>
  <c r="N15" i="15"/>
  <c r="N14" i="15"/>
  <c r="N13" i="15"/>
  <c r="N12" i="15"/>
  <c r="N11" i="15"/>
  <c r="N9" i="15"/>
  <c r="N8" i="15"/>
  <c r="M8" i="15"/>
  <c r="N57" i="15" l="1"/>
  <c r="N50" i="15"/>
  <c r="N42" i="15"/>
  <c r="N31" i="15"/>
  <c r="N27" i="15"/>
  <c r="N46" i="15"/>
  <c r="N10" i="15"/>
  <c r="N22" i="15"/>
  <c r="N21" i="15" s="1"/>
  <c r="N18" i="15"/>
  <c r="N16" i="15" s="1"/>
  <c r="K42" i="1"/>
  <c r="K43" i="1"/>
  <c r="K44" i="1"/>
  <c r="K45" i="1"/>
  <c r="K46" i="1"/>
  <c r="R42" i="1"/>
  <c r="R43" i="1"/>
  <c r="R44" i="1"/>
  <c r="R45" i="1"/>
  <c r="R46" i="1"/>
  <c r="P9" i="9"/>
  <c r="K334" i="1"/>
  <c r="K335" i="1"/>
  <c r="K336" i="1"/>
  <c r="K337" i="1"/>
  <c r="K338" i="1"/>
  <c r="R334" i="1"/>
  <c r="R335" i="1"/>
  <c r="R336" i="1"/>
  <c r="R337" i="1"/>
  <c r="R338" i="1"/>
  <c r="K330" i="1"/>
  <c r="R330" i="1"/>
  <c r="K325" i="1"/>
  <c r="K326" i="1"/>
  <c r="K327" i="1"/>
  <c r="K328" i="1"/>
  <c r="R325" i="1"/>
  <c r="R326" i="1"/>
  <c r="R327" i="1"/>
  <c r="R328" i="1"/>
  <c r="K323" i="1"/>
  <c r="R323" i="1"/>
  <c r="K293" i="1"/>
  <c r="K294" i="1"/>
  <c r="K295" i="1"/>
  <c r="R293" i="1"/>
  <c r="R294" i="1"/>
  <c r="R295" i="1"/>
  <c r="K291" i="1"/>
  <c r="R291" i="1"/>
  <c r="K282" i="1"/>
  <c r="R282" i="1"/>
  <c r="K279" i="1"/>
  <c r="R279" i="1"/>
  <c r="K277" i="1"/>
  <c r="R277" i="1"/>
  <c r="K274" i="1"/>
  <c r="K275" i="1"/>
  <c r="R274" i="1"/>
  <c r="R275" i="1"/>
  <c r="K271" i="1"/>
  <c r="K272" i="1"/>
  <c r="R271" i="1"/>
  <c r="R272" i="1"/>
  <c r="K261" i="1"/>
  <c r="R261" i="1"/>
  <c r="N37" i="15" l="1"/>
  <c r="N9" i="9"/>
  <c r="K228" i="1"/>
  <c r="K229" i="1"/>
  <c r="K230" i="1"/>
  <c r="K231" i="1"/>
  <c r="R228" i="1"/>
  <c r="R229" i="1"/>
  <c r="R230" i="1"/>
  <c r="R231" i="1"/>
  <c r="K226" i="1"/>
  <c r="R226" i="1"/>
  <c r="K224" i="1"/>
  <c r="R224" i="1"/>
  <c r="K222" i="1"/>
  <c r="R222" i="1"/>
  <c r="K218" i="1"/>
  <c r="K219" i="1"/>
  <c r="K220" i="1"/>
  <c r="R218" i="1"/>
  <c r="R219" i="1"/>
  <c r="R220" i="1"/>
  <c r="K216" i="1"/>
  <c r="R216" i="1"/>
  <c r="K214" i="1"/>
  <c r="R214" i="1"/>
  <c r="K212" i="1"/>
  <c r="R212" i="1"/>
  <c r="K210" i="1"/>
  <c r="R210" i="1"/>
  <c r="K179" i="1"/>
  <c r="K180" i="1"/>
  <c r="K181" i="1"/>
  <c r="K182" i="1"/>
  <c r="K183" i="1"/>
  <c r="K184" i="1"/>
  <c r="K185" i="1"/>
  <c r="R179" i="1"/>
  <c r="R180" i="1"/>
  <c r="R181" i="1"/>
  <c r="R182" i="1"/>
  <c r="R183" i="1"/>
  <c r="R184" i="1"/>
  <c r="R185" i="1"/>
  <c r="K173" i="1"/>
  <c r="K174" i="1"/>
  <c r="K175" i="1"/>
  <c r="K176" i="1"/>
  <c r="K177" i="1"/>
  <c r="K178" i="1"/>
  <c r="R173" i="1"/>
  <c r="R174" i="1"/>
  <c r="R175" i="1"/>
  <c r="R176" i="1"/>
  <c r="R177" i="1"/>
  <c r="R178" i="1"/>
  <c r="K171" i="1"/>
  <c r="R171" i="1"/>
  <c r="K169" i="1"/>
  <c r="R169" i="1"/>
  <c r="K162" i="1"/>
  <c r="R162" i="1"/>
  <c r="K160" i="1"/>
  <c r="R160" i="1"/>
  <c r="K158" i="1"/>
  <c r="R158" i="1"/>
  <c r="K156" i="1"/>
  <c r="R156" i="1"/>
  <c r="K154" i="1"/>
  <c r="R154" i="1"/>
  <c r="K152" i="1"/>
  <c r="R152" i="1"/>
  <c r="K150" i="1"/>
  <c r="R150" i="1"/>
  <c r="K148" i="1"/>
  <c r="R148" i="1"/>
  <c r="K146" i="1"/>
  <c r="R146" i="1"/>
  <c r="K144" i="1"/>
  <c r="R144" i="1"/>
  <c r="K142" i="1"/>
  <c r="R142" i="1"/>
  <c r="K140" i="1"/>
  <c r="R140" i="1"/>
  <c r="K138" i="1"/>
  <c r="R138" i="1"/>
  <c r="K136" i="1"/>
  <c r="R136" i="1"/>
  <c r="K132" i="1"/>
  <c r="R132" i="1"/>
  <c r="K130" i="1"/>
  <c r="R130" i="1"/>
  <c r="K128" i="1"/>
  <c r="R128" i="1"/>
  <c r="K125" i="1"/>
  <c r="R125" i="1"/>
  <c r="K123" i="1"/>
  <c r="R123" i="1"/>
  <c r="K120" i="1"/>
  <c r="R120" i="1"/>
  <c r="K112" i="1"/>
  <c r="R112" i="1"/>
  <c r="K104" i="1"/>
  <c r="R104" i="1"/>
  <c r="K102" i="1"/>
  <c r="R102" i="1"/>
  <c r="K100" i="1"/>
  <c r="R100" i="1"/>
  <c r="K91" i="1"/>
  <c r="R91" i="1"/>
  <c r="K93" i="1"/>
  <c r="R93" i="1"/>
  <c r="K95" i="1"/>
  <c r="R95" i="1"/>
  <c r="K97" i="1"/>
  <c r="R97" i="1"/>
  <c r="K85" i="1"/>
  <c r="R85" i="1"/>
  <c r="K29" i="1"/>
  <c r="R29" i="1"/>
  <c r="K27" i="1"/>
  <c r="R27" i="1"/>
  <c r="M9" i="9"/>
  <c r="O9" i="9" l="1"/>
  <c r="J5" i="4" l="1"/>
  <c r="J6" i="4"/>
  <c r="J7" i="4"/>
  <c r="L16" i="16" l="1"/>
  <c r="M16" i="16"/>
  <c r="M48" i="16"/>
  <c r="L48" i="16"/>
  <c r="L45" i="16"/>
  <c r="M45" i="16"/>
  <c r="L42" i="16"/>
  <c r="M42" i="16"/>
  <c r="L38" i="16"/>
  <c r="M38" i="16"/>
  <c r="L39" i="16"/>
  <c r="M39" i="16"/>
  <c r="L41" i="16"/>
  <c r="M41" i="16"/>
  <c r="M30" i="16"/>
  <c r="L30" i="16"/>
  <c r="M24" i="16"/>
  <c r="L24" i="16"/>
  <c r="L22" i="16"/>
  <c r="M22" i="16"/>
  <c r="L23" i="16"/>
  <c r="M23" i="16"/>
  <c r="L26" i="16"/>
  <c r="M26" i="16"/>
  <c r="L27" i="16"/>
  <c r="M27" i="16"/>
  <c r="L29" i="16"/>
  <c r="M29" i="16"/>
  <c r="L21" i="16"/>
  <c r="M21" i="16"/>
  <c r="L25" i="16"/>
  <c r="M25" i="16"/>
  <c r="L31" i="16"/>
  <c r="M31" i="16"/>
  <c r="L35" i="16"/>
  <c r="M35" i="16"/>
  <c r="L32" i="16"/>
  <c r="M32" i="16"/>
  <c r="L33" i="16"/>
  <c r="M33" i="16"/>
  <c r="L34" i="16"/>
  <c r="M34" i="16"/>
  <c r="L36" i="16"/>
  <c r="M36" i="16"/>
  <c r="L43" i="16"/>
  <c r="M43" i="16"/>
  <c r="L40" i="16"/>
  <c r="M40" i="16"/>
  <c r="L44" i="16"/>
  <c r="M44" i="16"/>
  <c r="L47" i="16"/>
  <c r="M47" i="16"/>
  <c r="L46" i="16"/>
  <c r="M46" i="16"/>
  <c r="L49" i="16"/>
  <c r="M49" i="16"/>
  <c r="L51" i="16"/>
  <c r="M51" i="16"/>
  <c r="L52" i="16"/>
  <c r="M52" i="16"/>
  <c r="L53" i="16"/>
  <c r="M53" i="16"/>
  <c r="L54" i="16"/>
  <c r="M54" i="16"/>
  <c r="L55" i="16"/>
  <c r="M55" i="16"/>
  <c r="L56" i="16"/>
  <c r="M56" i="16"/>
  <c r="L50" i="16"/>
  <c r="M50" i="16"/>
  <c r="L15" i="16"/>
  <c r="M15" i="16"/>
  <c r="L17" i="16"/>
  <c r="M17" i="16"/>
  <c r="L18" i="16"/>
  <c r="M18" i="16"/>
  <c r="L19" i="16"/>
  <c r="M19" i="16"/>
  <c r="L20" i="16"/>
  <c r="M20" i="16"/>
  <c r="L37" i="16"/>
  <c r="M37" i="16"/>
  <c r="L57" i="16"/>
  <c r="M57" i="16"/>
  <c r="L28" i="16"/>
  <c r="M28" i="16"/>
  <c r="L9" i="16"/>
  <c r="M9" i="16"/>
  <c r="L10" i="16"/>
  <c r="M10" i="16"/>
  <c r="L11" i="16"/>
  <c r="M11" i="16"/>
  <c r="L12" i="16"/>
  <c r="M12" i="16"/>
  <c r="L13" i="16"/>
  <c r="M13" i="16"/>
  <c r="L14" i="16"/>
  <c r="M14" i="16"/>
  <c r="M7" i="16"/>
  <c r="L7" i="16"/>
  <c r="M6" i="16"/>
  <c r="L6" i="16"/>
  <c r="M5" i="16"/>
  <c r="L5" i="16"/>
  <c r="M3" i="16"/>
  <c r="L3" i="16"/>
  <c r="M2" i="16"/>
  <c r="L2" i="16"/>
  <c r="M79" i="5" l="1"/>
  <c r="M80" i="5"/>
  <c r="M81" i="5"/>
  <c r="M82" i="5"/>
  <c r="M83" i="5" s="1"/>
  <c r="M84" i="5" s="1"/>
  <c r="M85" i="5"/>
  <c r="M86" i="5"/>
  <c r="M87" i="5" s="1"/>
  <c r="M88" i="5" s="1"/>
  <c r="M89" i="5" s="1"/>
  <c r="M90" i="5" s="1"/>
  <c r="M91" i="5" s="1"/>
  <c r="M92" i="5" s="1"/>
  <c r="M93" i="5"/>
  <c r="M94" i="5"/>
  <c r="M95" i="5" s="1"/>
  <c r="M96" i="5"/>
  <c r="M97" i="5"/>
  <c r="M98" i="5" s="1"/>
  <c r="M99" i="5" s="1"/>
  <c r="M100" i="5"/>
  <c r="M101" i="5"/>
  <c r="M102" i="5"/>
  <c r="M103" i="5"/>
  <c r="M104" i="5"/>
  <c r="M105" i="5" s="1"/>
  <c r="M106" i="5" s="1"/>
  <c r="M107" i="5" s="1"/>
  <c r="M108" i="5"/>
  <c r="M109" i="5"/>
  <c r="M110" i="5"/>
  <c r="M111" i="5" s="1"/>
  <c r="M112" i="5" s="1"/>
  <c r="M113" i="5" s="1"/>
  <c r="M114" i="5" s="1"/>
  <c r="M115" i="5" s="1"/>
  <c r="M116" i="5" s="1"/>
  <c r="M117" i="5" s="1"/>
  <c r="M118" i="5" s="1"/>
  <c r="M119" i="5" s="1"/>
  <c r="M120" i="5" s="1"/>
  <c r="M121" i="5" s="1"/>
  <c r="M122" i="5" s="1"/>
  <c r="M123" i="5" s="1"/>
  <c r="M124" i="5"/>
  <c r="M125" i="5"/>
  <c r="M126" i="5" s="1"/>
  <c r="M127" i="5" s="1"/>
  <c r="M128" i="5" s="1"/>
  <c r="M129" i="5" s="1"/>
  <c r="M130" i="5" s="1"/>
  <c r="M131" i="5" s="1"/>
  <c r="M132" i="5" s="1"/>
  <c r="M133" i="5" s="1"/>
  <c r="M134" i="5" s="1"/>
  <c r="M135" i="5" s="1"/>
  <c r="M136" i="5" s="1"/>
  <c r="M137" i="5" s="1"/>
  <c r="M138" i="5" s="1"/>
  <c r="M139" i="5" s="1"/>
  <c r="M140" i="5" s="1"/>
  <c r="M141" i="5" s="1"/>
  <c r="M142" i="5"/>
  <c r="M143" i="5"/>
  <c r="M144" i="5" s="1"/>
  <c r="N134" i="5"/>
  <c r="O134" i="5"/>
  <c r="J63" i="13" s="1"/>
  <c r="O131" i="5"/>
  <c r="J60" i="13" s="1"/>
  <c r="N131" i="5"/>
  <c r="N128" i="5"/>
  <c r="N129" i="5"/>
  <c r="O128" i="5"/>
  <c r="J57" i="13" s="1"/>
  <c r="O129" i="5"/>
  <c r="J58" i="13" s="1"/>
  <c r="N126" i="5"/>
  <c r="O126" i="5"/>
  <c r="J55" i="13" s="1"/>
  <c r="N127" i="5"/>
  <c r="O127" i="5"/>
  <c r="J56" i="13" s="1"/>
  <c r="N120" i="5"/>
  <c r="O120" i="5"/>
  <c r="J49" i="13" s="1"/>
  <c r="N113" i="5"/>
  <c r="N114" i="5"/>
  <c r="O113" i="5"/>
  <c r="J42" i="13" s="1"/>
  <c r="O114" i="5"/>
  <c r="J43" i="13" s="1"/>
  <c r="N111" i="5"/>
  <c r="N112" i="5"/>
  <c r="O111" i="5"/>
  <c r="J40" i="13" s="1"/>
  <c r="O112" i="5"/>
  <c r="J41" i="13" s="1"/>
  <c r="O108" i="5"/>
  <c r="J37" i="13" s="1"/>
  <c r="N108" i="5"/>
  <c r="N88" i="5"/>
  <c r="O88" i="5"/>
  <c r="J17" i="13" s="1"/>
  <c r="M72" i="5" l="1"/>
  <c r="M73" i="5"/>
  <c r="M74" i="5" s="1"/>
  <c r="M75" i="5"/>
  <c r="M76" i="5"/>
  <c r="M77" i="5" s="1"/>
  <c r="M78" i="5" s="1"/>
  <c r="N72" i="5"/>
  <c r="N73" i="5"/>
  <c r="O72" i="5"/>
  <c r="K78" i="9" s="1"/>
  <c r="O73" i="5"/>
  <c r="K79" i="9" s="1"/>
  <c r="M69" i="5"/>
  <c r="M70" i="5"/>
  <c r="M71" i="5" s="1"/>
  <c r="N70" i="5"/>
  <c r="N71" i="5"/>
  <c r="O70" i="5"/>
  <c r="K76" i="9" s="1"/>
  <c r="O71" i="5"/>
  <c r="K77" i="9" s="1"/>
  <c r="N68" i="5"/>
  <c r="O68" i="5"/>
  <c r="K74" i="9" s="1"/>
  <c r="M53" i="5"/>
  <c r="N53" i="5"/>
  <c r="O53" i="5"/>
  <c r="K59" i="9" s="1"/>
  <c r="M58" i="5"/>
  <c r="M59" i="5"/>
  <c r="M60" i="5" s="1"/>
  <c r="M61" i="5" s="1"/>
  <c r="M62" i="5" s="1"/>
  <c r="M63" i="5" s="1"/>
  <c r="M64" i="5" s="1"/>
  <c r="M65" i="5" s="1"/>
  <c r="M66" i="5" s="1"/>
  <c r="M67" i="5" s="1"/>
  <c r="M68" i="5" s="1"/>
  <c r="M40" i="5"/>
  <c r="M41" i="5" s="1"/>
  <c r="M42" i="5"/>
  <c r="M43" i="5"/>
  <c r="M44" i="5" s="1"/>
  <c r="M45" i="5" s="1"/>
  <c r="M46" i="5" s="1"/>
  <c r="M47" i="5"/>
  <c r="M48" i="5"/>
  <c r="M49" i="5"/>
  <c r="M50" i="5" s="1"/>
  <c r="M51" i="5" s="1"/>
  <c r="M52" i="5" s="1"/>
  <c r="M54" i="5" s="1"/>
  <c r="M55" i="5" s="1"/>
  <c r="M56" i="5" s="1"/>
  <c r="M57" i="5" s="1"/>
  <c r="N47" i="5"/>
  <c r="O47" i="5"/>
  <c r="K53" i="9" s="1"/>
  <c r="N43" i="5"/>
  <c r="N44" i="5"/>
  <c r="O43" i="5"/>
  <c r="K49" i="9" s="1"/>
  <c r="O44" i="5"/>
  <c r="K50" i="9" s="1"/>
  <c r="N34" i="5"/>
  <c r="O34" i="5"/>
  <c r="K40" i="9" s="1"/>
  <c r="O32" i="5"/>
  <c r="K38" i="9" s="1"/>
  <c r="N32" i="5"/>
  <c r="M25" i="5"/>
  <c r="M26" i="5"/>
  <c r="M27" i="5" s="1"/>
  <c r="M28" i="5"/>
  <c r="M29" i="5"/>
  <c r="M31" i="5" s="1"/>
  <c r="M33" i="5" s="1"/>
  <c r="M30" i="5" s="1"/>
  <c r="M35" i="5" s="1"/>
  <c r="M36" i="5" s="1"/>
  <c r="M37" i="5" s="1"/>
  <c r="M38" i="5"/>
  <c r="M39" i="5"/>
  <c r="N25" i="5"/>
  <c r="O25" i="5"/>
  <c r="K31" i="9" s="1"/>
  <c r="M21" i="5"/>
  <c r="M22" i="5"/>
  <c r="M23" i="5" s="1"/>
  <c r="M24" i="5" s="1"/>
  <c r="N21" i="5"/>
  <c r="O21" i="5"/>
  <c r="K27" i="9" s="1"/>
  <c r="N20" i="5"/>
  <c r="O20" i="5"/>
  <c r="K26" i="9" s="1"/>
  <c r="M15" i="5"/>
  <c r="M16" i="5"/>
  <c r="M17" i="5"/>
  <c r="M18" i="5" s="1"/>
  <c r="M19" i="5" s="1"/>
  <c r="M20" i="5" s="1"/>
  <c r="N16" i="5"/>
  <c r="O16" i="5"/>
  <c r="K22" i="9" s="1"/>
  <c r="N14" i="5"/>
  <c r="O14" i="5"/>
  <c r="K20" i="9" s="1"/>
  <c r="M34" i="5" l="1"/>
  <c r="M32" i="5"/>
  <c r="J4" i="4" l="1"/>
  <c r="E32" i="6"/>
  <c r="D32" i="6"/>
  <c r="D24" i="6"/>
  <c r="E24" i="6"/>
  <c r="R192" i="1" l="1"/>
  <c r="R204" i="1"/>
  <c r="K204" i="1"/>
  <c r="N115" i="5" l="1"/>
  <c r="O115" i="5"/>
  <c r="J44" i="13" s="1"/>
  <c r="N117" i="5"/>
  <c r="O117" i="5"/>
  <c r="J46" i="13" s="1"/>
  <c r="N118" i="5"/>
  <c r="O118" i="5"/>
  <c r="J47" i="13" s="1"/>
  <c r="N121" i="5"/>
  <c r="O121" i="5"/>
  <c r="J50" i="13" s="1"/>
  <c r="N110" i="5"/>
  <c r="O110" i="5"/>
  <c r="J39" i="13" s="1"/>
  <c r="N116" i="5"/>
  <c r="O116" i="5"/>
  <c r="J45" i="13" s="1"/>
  <c r="N122" i="5"/>
  <c r="O122" i="5"/>
  <c r="J51" i="13" s="1"/>
  <c r="N123" i="5"/>
  <c r="O123" i="5"/>
  <c r="J52" i="13" s="1"/>
  <c r="N119" i="5"/>
  <c r="O119" i="5"/>
  <c r="J48" i="13" s="1"/>
  <c r="N100" i="5"/>
  <c r="O100" i="5"/>
  <c r="J29" i="13" s="1"/>
  <c r="N101" i="5"/>
  <c r="O101" i="5"/>
  <c r="J30" i="13" s="1"/>
  <c r="N102" i="5"/>
  <c r="O102" i="5"/>
  <c r="J31" i="13" s="1"/>
  <c r="N103" i="5"/>
  <c r="O103" i="5"/>
  <c r="J32" i="13" s="1"/>
  <c r="N104" i="5"/>
  <c r="O104" i="5"/>
  <c r="J33" i="13" s="1"/>
  <c r="N105" i="5"/>
  <c r="O105" i="5"/>
  <c r="J34" i="13" s="1"/>
  <c r="N106" i="5"/>
  <c r="O106" i="5"/>
  <c r="J35" i="13" s="1"/>
  <c r="N107" i="5"/>
  <c r="O107" i="5"/>
  <c r="J36" i="13" s="1"/>
  <c r="N109" i="5"/>
  <c r="O109" i="5"/>
  <c r="J38" i="13" s="1"/>
  <c r="G1" i="15" l="1"/>
  <c r="B83" i="20" l="1"/>
  <c r="B60" i="20"/>
  <c r="B48" i="20"/>
  <c r="B28" i="20"/>
  <c r="B13" i="20"/>
  <c r="J3" i="4" l="1"/>
  <c r="N3" i="15" l="1"/>
  <c r="N2" i="15"/>
  <c r="G2" i="15"/>
  <c r="N1" i="15"/>
  <c r="M3" i="13"/>
  <c r="M2" i="13"/>
  <c r="M1" i="13"/>
  <c r="F2" i="13"/>
  <c r="F1" i="13"/>
  <c r="J2" i="4" l="1"/>
  <c r="M3" i="5" l="1"/>
  <c r="M4" i="5"/>
  <c r="M5" i="5"/>
  <c r="M6" i="5"/>
  <c r="M7" i="5" s="1"/>
  <c r="M8" i="5" s="1"/>
  <c r="M2" i="5"/>
  <c r="N144" i="5"/>
  <c r="N143" i="5"/>
  <c r="N142" i="5"/>
  <c r="N136" i="5"/>
  <c r="N141" i="5"/>
  <c r="N140" i="5"/>
  <c r="N125" i="5"/>
  <c r="N139" i="5"/>
  <c r="N138" i="5"/>
  <c r="N137" i="5"/>
  <c r="N135" i="5"/>
  <c r="N133" i="5"/>
  <c r="N132" i="5"/>
  <c r="N130" i="5"/>
  <c r="N124" i="5"/>
  <c r="N99" i="5"/>
  <c r="N98" i="5"/>
  <c r="N97" i="5"/>
  <c r="N96" i="5"/>
  <c r="N95" i="5"/>
  <c r="N94" i="5"/>
  <c r="N93" i="5"/>
  <c r="N92" i="5"/>
  <c r="N91" i="5"/>
  <c r="N90" i="5"/>
  <c r="N89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69" i="5"/>
  <c r="N62" i="5"/>
  <c r="N67" i="5"/>
  <c r="N66" i="5"/>
  <c r="N65" i="5"/>
  <c r="N64" i="5"/>
  <c r="N63" i="5"/>
  <c r="N61" i="5"/>
  <c r="N60" i="5"/>
  <c r="N59" i="5"/>
  <c r="N58" i="5"/>
  <c r="N52" i="5"/>
  <c r="N57" i="5"/>
  <c r="N56" i="5"/>
  <c r="N55" i="5"/>
  <c r="N54" i="5"/>
  <c r="N51" i="5"/>
  <c r="N50" i="5"/>
  <c r="N49" i="5"/>
  <c r="N48" i="5"/>
  <c r="N46" i="5"/>
  <c r="N45" i="5"/>
  <c r="N42" i="5"/>
  <c r="N41" i="5"/>
  <c r="N40" i="5"/>
  <c r="N39" i="5"/>
  <c r="N38" i="5"/>
  <c r="N37" i="5"/>
  <c r="N36" i="5"/>
  <c r="N35" i="5"/>
  <c r="N30" i="5"/>
  <c r="N33" i="5"/>
  <c r="N31" i="5"/>
  <c r="N29" i="5"/>
  <c r="N28" i="5"/>
  <c r="N26" i="5"/>
  <c r="N27" i="5"/>
  <c r="N24" i="5"/>
  <c r="N23" i="5"/>
  <c r="N22" i="5"/>
  <c r="N19" i="5"/>
  <c r="N18" i="5"/>
  <c r="N17" i="5"/>
  <c r="N15" i="5"/>
  <c r="N13" i="5"/>
  <c r="N12" i="5"/>
  <c r="N11" i="5"/>
  <c r="N10" i="5"/>
  <c r="N9" i="5"/>
  <c r="N8" i="5"/>
  <c r="N7" i="5"/>
  <c r="N6" i="5"/>
  <c r="N5" i="5"/>
  <c r="N4" i="5"/>
  <c r="N3" i="5"/>
  <c r="N2" i="5"/>
  <c r="L8" i="16"/>
  <c r="L4" i="16"/>
  <c r="M9" i="5" l="1"/>
  <c r="K77" i="1"/>
  <c r="K78" i="1"/>
  <c r="K79" i="1"/>
  <c r="K80" i="1"/>
  <c r="K81" i="1"/>
  <c r="K82" i="1"/>
  <c r="K83" i="1"/>
  <c r="K84" i="1"/>
  <c r="K86" i="1"/>
  <c r="K87" i="1"/>
  <c r="K88" i="1"/>
  <c r="K89" i="1"/>
  <c r="K90" i="1"/>
  <c r="K92" i="1"/>
  <c r="K94" i="1"/>
  <c r="K96" i="1"/>
  <c r="K98" i="1"/>
  <c r="K99" i="1"/>
  <c r="K101" i="1"/>
  <c r="K103" i="1"/>
  <c r="K105" i="1"/>
  <c r="K106" i="1"/>
  <c r="K107" i="1"/>
  <c r="K108" i="1"/>
  <c r="K109" i="1"/>
  <c r="K110" i="1"/>
  <c r="K111" i="1"/>
  <c r="K113" i="1"/>
  <c r="K114" i="1"/>
  <c r="K115" i="1"/>
  <c r="K116" i="1"/>
  <c r="K117" i="1"/>
  <c r="K118" i="1"/>
  <c r="K119" i="1"/>
  <c r="K121" i="1"/>
  <c r="K122" i="1"/>
  <c r="K124" i="1"/>
  <c r="K126" i="1"/>
  <c r="K127" i="1"/>
  <c r="K129" i="1"/>
  <c r="K131" i="1"/>
  <c r="K133" i="1"/>
  <c r="K134" i="1"/>
  <c r="K135" i="1"/>
  <c r="K137" i="1"/>
  <c r="K139" i="1"/>
  <c r="K141" i="1"/>
  <c r="K143" i="1"/>
  <c r="K145" i="1"/>
  <c r="K147" i="1"/>
  <c r="K149" i="1"/>
  <c r="K151" i="1"/>
  <c r="K153" i="1"/>
  <c r="K155" i="1"/>
  <c r="K157" i="1"/>
  <c r="K159" i="1"/>
  <c r="K161" i="1"/>
  <c r="K163" i="1"/>
  <c r="K164" i="1"/>
  <c r="K165" i="1"/>
  <c r="K166" i="1"/>
  <c r="K167" i="1"/>
  <c r="K168" i="1"/>
  <c r="K170" i="1"/>
  <c r="K172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5" i="1"/>
  <c r="K206" i="1"/>
  <c r="K207" i="1"/>
  <c r="K208" i="1"/>
  <c r="K209" i="1"/>
  <c r="K211" i="1"/>
  <c r="K213" i="1"/>
  <c r="K215" i="1"/>
  <c r="K217" i="1"/>
  <c r="K221" i="1"/>
  <c r="K223" i="1"/>
  <c r="K225" i="1"/>
  <c r="K227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2" i="1"/>
  <c r="K263" i="1"/>
  <c r="K264" i="1"/>
  <c r="K265" i="1"/>
  <c r="K266" i="1"/>
  <c r="K267" i="1"/>
  <c r="K268" i="1"/>
  <c r="K269" i="1"/>
  <c r="K270" i="1"/>
  <c r="K273" i="1"/>
  <c r="K276" i="1"/>
  <c r="K278" i="1"/>
  <c r="K280" i="1"/>
  <c r="K281" i="1"/>
  <c r="K283" i="1"/>
  <c r="K284" i="1"/>
  <c r="K285" i="1"/>
  <c r="K286" i="1"/>
  <c r="K287" i="1"/>
  <c r="K288" i="1"/>
  <c r="K289" i="1"/>
  <c r="K290" i="1"/>
  <c r="K292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4" i="1"/>
  <c r="K329" i="1"/>
  <c r="K331" i="1"/>
  <c r="K332" i="1"/>
  <c r="K333" i="1"/>
  <c r="K339" i="1"/>
  <c r="K340" i="1"/>
  <c r="K341" i="1"/>
  <c r="K342" i="1"/>
  <c r="K343" i="1"/>
  <c r="K344" i="1"/>
  <c r="K345" i="1"/>
  <c r="K346" i="1"/>
  <c r="K347" i="1"/>
  <c r="K348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8" i="1"/>
  <c r="K30" i="1"/>
  <c r="K31" i="1"/>
  <c r="K32" i="1"/>
  <c r="K33" i="1"/>
  <c r="K34" i="1"/>
  <c r="K35" i="1"/>
  <c r="K36" i="1"/>
  <c r="K37" i="1"/>
  <c r="K38" i="1"/>
  <c r="K39" i="1"/>
  <c r="K40" i="1"/>
  <c r="K41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2" i="1"/>
  <c r="M10" i="5" l="1"/>
  <c r="M11" i="5" s="1"/>
  <c r="M12" i="5" s="1"/>
  <c r="M13" i="5" s="1"/>
  <c r="M14" i="5" s="1"/>
  <c r="P3" i="9"/>
  <c r="F2" i="9"/>
  <c r="F1" i="9" l="1"/>
  <c r="K5" i="9"/>
  <c r="J18" i="6"/>
  <c r="J17" i="6"/>
  <c r="F15" i="6"/>
  <c r="G3" i="15" l="1"/>
  <c r="F3" i="13"/>
  <c r="F3" i="9"/>
  <c r="K11" i="15" l="1"/>
  <c r="M8" i="16"/>
  <c r="M4" i="16"/>
  <c r="K15" i="15" s="1"/>
  <c r="K18" i="15"/>
  <c r="K26" i="15"/>
  <c r="K37" i="15"/>
  <c r="K40" i="15"/>
  <c r="K55" i="15"/>
  <c r="K56" i="15"/>
  <c r="K59" i="15"/>
  <c r="K62" i="15"/>
  <c r="K63" i="15"/>
  <c r="O2" i="5"/>
  <c r="K8" i="9" s="1"/>
  <c r="M5" i="15"/>
  <c r="M6" i="15"/>
  <c r="N6" i="15"/>
  <c r="K5" i="15"/>
  <c r="L5" i="13"/>
  <c r="L6" i="15"/>
  <c r="L5" i="15"/>
  <c r="G5" i="15"/>
  <c r="F5" i="13"/>
  <c r="M5" i="13"/>
  <c r="K6" i="13"/>
  <c r="L6" i="9"/>
  <c r="K5" i="13"/>
  <c r="L5" i="9"/>
  <c r="J5" i="13"/>
  <c r="P5" i="9"/>
  <c r="M5" i="9"/>
  <c r="P6" i="9"/>
  <c r="O6" i="9"/>
  <c r="N6" i="9"/>
  <c r="M6" i="9"/>
  <c r="F5" i="9"/>
  <c r="O3" i="5"/>
  <c r="K9" i="9" s="1"/>
  <c r="O4" i="5"/>
  <c r="K10" i="9" s="1"/>
  <c r="O5" i="5"/>
  <c r="K11" i="9" s="1"/>
  <c r="O6" i="5"/>
  <c r="K12" i="9" s="1"/>
  <c r="O7" i="5"/>
  <c r="K13" i="9" s="1"/>
  <c r="O8" i="5"/>
  <c r="K14" i="9" s="1"/>
  <c r="O9" i="5"/>
  <c r="K15" i="9" s="1"/>
  <c r="O10" i="5"/>
  <c r="K16" i="9" s="1"/>
  <c r="O11" i="5"/>
  <c r="K17" i="9" s="1"/>
  <c r="O12" i="5"/>
  <c r="K18" i="9" s="1"/>
  <c r="O13" i="5"/>
  <c r="K19" i="9" s="1"/>
  <c r="O15" i="5"/>
  <c r="K21" i="9" s="1"/>
  <c r="O17" i="5"/>
  <c r="K23" i="9" s="1"/>
  <c r="O18" i="5"/>
  <c r="K24" i="9" s="1"/>
  <c r="O19" i="5"/>
  <c r="K25" i="9" s="1"/>
  <c r="O22" i="5"/>
  <c r="K28" i="9" s="1"/>
  <c r="O23" i="5"/>
  <c r="K29" i="9" s="1"/>
  <c r="O24" i="5"/>
  <c r="K30" i="9" s="1"/>
  <c r="O27" i="5"/>
  <c r="K33" i="9" s="1"/>
  <c r="O26" i="5"/>
  <c r="K32" i="9" s="1"/>
  <c r="O28" i="5"/>
  <c r="K34" i="9" s="1"/>
  <c r="O29" i="5"/>
  <c r="K35" i="9" s="1"/>
  <c r="O31" i="5"/>
  <c r="K37" i="9" s="1"/>
  <c r="O33" i="5"/>
  <c r="K39" i="9" s="1"/>
  <c r="O30" i="5"/>
  <c r="K36" i="9" s="1"/>
  <c r="O35" i="5"/>
  <c r="K41" i="9" s="1"/>
  <c r="O36" i="5"/>
  <c r="K42" i="9" s="1"/>
  <c r="O37" i="5"/>
  <c r="K43" i="9" s="1"/>
  <c r="O38" i="5"/>
  <c r="K44" i="9" s="1"/>
  <c r="O39" i="5"/>
  <c r="K45" i="9" s="1"/>
  <c r="O40" i="5"/>
  <c r="K46" i="9" s="1"/>
  <c r="O41" i="5"/>
  <c r="K47" i="9" s="1"/>
  <c r="O42" i="5"/>
  <c r="K48" i="9" s="1"/>
  <c r="O45" i="5"/>
  <c r="K51" i="9" s="1"/>
  <c r="O46" i="5"/>
  <c r="K52" i="9" s="1"/>
  <c r="O48" i="5"/>
  <c r="K54" i="9" s="1"/>
  <c r="O49" i="5"/>
  <c r="K55" i="9" s="1"/>
  <c r="O50" i="5"/>
  <c r="K56" i="9" s="1"/>
  <c r="O51" i="5"/>
  <c r="K57" i="9" s="1"/>
  <c r="O54" i="5"/>
  <c r="K60" i="9" s="1"/>
  <c r="O55" i="5"/>
  <c r="K61" i="9" s="1"/>
  <c r="O56" i="5"/>
  <c r="K62" i="9" s="1"/>
  <c r="O57" i="5"/>
  <c r="K63" i="9" s="1"/>
  <c r="O52" i="5"/>
  <c r="K58" i="9" s="1"/>
  <c r="O58" i="5"/>
  <c r="K64" i="9" s="1"/>
  <c r="O59" i="5"/>
  <c r="K65" i="9" s="1"/>
  <c r="O60" i="5"/>
  <c r="K66" i="9" s="1"/>
  <c r="O61" i="5"/>
  <c r="K67" i="9" s="1"/>
  <c r="O63" i="5"/>
  <c r="K69" i="9" s="1"/>
  <c r="O64" i="5"/>
  <c r="K70" i="9" s="1"/>
  <c r="O65" i="5"/>
  <c r="K71" i="9" s="1"/>
  <c r="O66" i="5"/>
  <c r="K72" i="9" s="1"/>
  <c r="O67" i="5"/>
  <c r="K73" i="9" s="1"/>
  <c r="O62" i="5"/>
  <c r="K68" i="9" s="1"/>
  <c r="O69" i="5"/>
  <c r="K75" i="9" s="1"/>
  <c r="O74" i="5"/>
  <c r="K80" i="9" s="1"/>
  <c r="O75" i="5"/>
  <c r="K81" i="9" s="1"/>
  <c r="O76" i="5"/>
  <c r="K82" i="9" s="1"/>
  <c r="O77" i="5"/>
  <c r="K83" i="9" s="1"/>
  <c r="O78" i="5"/>
  <c r="K84" i="9" s="1"/>
  <c r="O79" i="5"/>
  <c r="J8" i="13" s="1"/>
  <c r="O80" i="5"/>
  <c r="J9" i="13" s="1"/>
  <c r="O81" i="5"/>
  <c r="J10" i="13" s="1"/>
  <c r="O82" i="5"/>
  <c r="J11" i="13" s="1"/>
  <c r="O83" i="5"/>
  <c r="J12" i="13" s="1"/>
  <c r="O84" i="5"/>
  <c r="J13" i="13" s="1"/>
  <c r="O85" i="5"/>
  <c r="J14" i="13" s="1"/>
  <c r="O86" i="5"/>
  <c r="J15" i="13" s="1"/>
  <c r="O87" i="5"/>
  <c r="J16" i="13" s="1"/>
  <c r="O89" i="5"/>
  <c r="J18" i="13" s="1"/>
  <c r="O90" i="5"/>
  <c r="J19" i="13" s="1"/>
  <c r="O91" i="5"/>
  <c r="J20" i="13" s="1"/>
  <c r="O92" i="5"/>
  <c r="J21" i="13" s="1"/>
  <c r="O93" i="5"/>
  <c r="J22" i="13" s="1"/>
  <c r="O94" i="5"/>
  <c r="J23" i="13" s="1"/>
  <c r="O95" i="5"/>
  <c r="J24" i="13" s="1"/>
  <c r="O96" i="5"/>
  <c r="J25" i="13" s="1"/>
  <c r="O97" i="5"/>
  <c r="J26" i="13" s="1"/>
  <c r="O98" i="5"/>
  <c r="J27" i="13" s="1"/>
  <c r="O99" i="5"/>
  <c r="J28" i="13" s="1"/>
  <c r="O124" i="5"/>
  <c r="J53" i="13" s="1"/>
  <c r="O130" i="5"/>
  <c r="J59" i="13" s="1"/>
  <c r="O132" i="5"/>
  <c r="J61" i="13" s="1"/>
  <c r="O133" i="5"/>
  <c r="J62" i="13" s="1"/>
  <c r="O135" i="5"/>
  <c r="J64" i="13" s="1"/>
  <c r="O137" i="5"/>
  <c r="J66" i="13" s="1"/>
  <c r="O138" i="5"/>
  <c r="J67" i="13" s="1"/>
  <c r="O139" i="5"/>
  <c r="J68" i="13" s="1"/>
  <c r="O125" i="5"/>
  <c r="J54" i="13" s="1"/>
  <c r="O140" i="5"/>
  <c r="J69" i="13" s="1"/>
  <c r="O141" i="5"/>
  <c r="J70" i="13" s="1"/>
  <c r="O136" i="5"/>
  <c r="J65" i="13" s="1"/>
  <c r="O142" i="5"/>
  <c r="J71" i="13" s="1"/>
  <c r="O143" i="5"/>
  <c r="J72" i="13" s="1"/>
  <c r="O144" i="5"/>
  <c r="J73" i="13" s="1"/>
  <c r="K10" i="15" l="1"/>
  <c r="K48" i="15"/>
  <c r="K44" i="15"/>
  <c r="K36" i="15"/>
  <c r="K28" i="15"/>
  <c r="K16" i="15"/>
  <c r="K51" i="15"/>
  <c r="K47" i="15"/>
  <c r="K43" i="15"/>
  <c r="K39" i="15"/>
  <c r="K35" i="15"/>
  <c r="K31" i="15"/>
  <c r="K27" i="15"/>
  <c r="K23" i="15"/>
  <c r="K19" i="15"/>
  <c r="K58" i="15"/>
  <c r="K54" i="15"/>
  <c r="K50" i="15"/>
  <c r="K46" i="15"/>
  <c r="K42" i="15"/>
  <c r="K38" i="15"/>
  <c r="K34" i="15"/>
  <c r="K30" i="15"/>
  <c r="K22" i="15"/>
  <c r="K14" i="15"/>
  <c r="K60" i="15"/>
  <c r="K52" i="15"/>
  <c r="K32" i="15"/>
  <c r="K24" i="15"/>
  <c r="K20" i="15"/>
  <c r="K12" i="15"/>
  <c r="K8" i="15"/>
  <c r="K61" i="15"/>
  <c r="K57" i="15"/>
  <c r="K53" i="15"/>
  <c r="K49" i="15"/>
  <c r="K45" i="15"/>
  <c r="K41" i="15"/>
  <c r="K33" i="15"/>
  <c r="K29" i="15"/>
  <c r="K25" i="15"/>
  <c r="K21" i="15"/>
  <c r="K17" i="15"/>
  <c r="K13" i="15"/>
  <c r="K9" i="15"/>
  <c r="C10" i="13" l="1"/>
  <c r="C11" i="15"/>
  <c r="C12" i="15"/>
  <c r="C13" i="15"/>
  <c r="R208" i="1" l="1"/>
  <c r="R161" i="1" l="1"/>
  <c r="R159" i="1"/>
  <c r="R157" i="1"/>
  <c r="R131" i="1" l="1"/>
  <c r="R133" i="1"/>
  <c r="R134" i="1"/>
  <c r="R135" i="1"/>
  <c r="R137" i="1"/>
  <c r="R139" i="1"/>
  <c r="R141" i="1"/>
  <c r="R143" i="1"/>
  <c r="R145" i="1"/>
  <c r="R147" i="1"/>
  <c r="R149" i="1"/>
  <c r="R151" i="1"/>
  <c r="R153" i="1"/>
  <c r="R155" i="1"/>
  <c r="R163" i="1"/>
  <c r="R164" i="1"/>
  <c r="R165" i="1"/>
  <c r="R166" i="1"/>
  <c r="R167" i="1"/>
  <c r="R168" i="1"/>
  <c r="R170" i="1"/>
  <c r="R172" i="1"/>
  <c r="R186" i="1"/>
  <c r="R187" i="1"/>
  <c r="R188" i="1"/>
  <c r="R189" i="1"/>
  <c r="R190" i="1"/>
  <c r="R191" i="1"/>
  <c r="R193" i="1"/>
  <c r="R194" i="1"/>
  <c r="R195" i="1"/>
  <c r="R196" i="1"/>
  <c r="R197" i="1"/>
  <c r="R198" i="1"/>
  <c r="R199" i="1"/>
  <c r="R200" i="1"/>
  <c r="R201" i="1"/>
  <c r="R202" i="1"/>
  <c r="R203" i="1"/>
  <c r="R205" i="1"/>
  <c r="R206" i="1"/>
  <c r="R207" i="1"/>
  <c r="R209" i="1"/>
  <c r="R211" i="1"/>
  <c r="R213" i="1"/>
  <c r="R215" i="1"/>
  <c r="R217" i="1"/>
  <c r="R221" i="1"/>
  <c r="R223" i="1"/>
  <c r="R225" i="1"/>
  <c r="R227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2" i="1"/>
  <c r="R263" i="1"/>
  <c r="R264" i="1"/>
  <c r="R265" i="1"/>
  <c r="R266" i="1"/>
  <c r="R267" i="1"/>
  <c r="R268" i="1"/>
  <c r="R269" i="1"/>
  <c r="R270" i="1"/>
  <c r="R273" i="1"/>
  <c r="R276" i="1"/>
  <c r="R278" i="1"/>
  <c r="R280" i="1"/>
  <c r="R281" i="1"/>
  <c r="R283" i="1"/>
  <c r="R284" i="1"/>
  <c r="R285" i="1"/>
  <c r="R286" i="1"/>
  <c r="R287" i="1"/>
  <c r="R288" i="1"/>
  <c r="R289" i="1"/>
  <c r="R290" i="1"/>
  <c r="R292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4" i="1"/>
  <c r="R329" i="1"/>
  <c r="R331" i="1"/>
  <c r="R332" i="1"/>
  <c r="R333" i="1"/>
  <c r="R339" i="1"/>
  <c r="R340" i="1"/>
  <c r="R341" i="1"/>
  <c r="R342" i="1"/>
  <c r="R343" i="1"/>
  <c r="R344" i="1"/>
  <c r="R345" i="1"/>
  <c r="R346" i="1"/>
  <c r="R347" i="1"/>
  <c r="R348" i="1"/>
  <c r="R94" i="1"/>
  <c r="R96" i="1"/>
  <c r="R98" i="1"/>
  <c r="R99" i="1"/>
  <c r="R101" i="1"/>
  <c r="R103" i="1"/>
  <c r="R105" i="1"/>
  <c r="R106" i="1"/>
  <c r="R107" i="1"/>
  <c r="R108" i="1"/>
  <c r="R109" i="1"/>
  <c r="R110" i="1"/>
  <c r="R111" i="1"/>
  <c r="R113" i="1"/>
  <c r="R114" i="1"/>
  <c r="R115" i="1"/>
  <c r="R116" i="1"/>
  <c r="R117" i="1"/>
  <c r="R118" i="1"/>
  <c r="R119" i="1"/>
  <c r="R121" i="1"/>
  <c r="R122" i="1"/>
  <c r="R124" i="1"/>
  <c r="R126" i="1"/>
  <c r="R127" i="1"/>
  <c r="R129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8" i="1"/>
  <c r="R30" i="1"/>
  <c r="R31" i="1"/>
  <c r="R32" i="1"/>
  <c r="R33" i="1"/>
  <c r="R34" i="1"/>
  <c r="R35" i="1"/>
  <c r="R36" i="1"/>
  <c r="R37" i="1"/>
  <c r="R38" i="1"/>
  <c r="R39" i="1"/>
  <c r="R40" i="1"/>
  <c r="R41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6" i="1"/>
  <c r="R87" i="1"/>
  <c r="R88" i="1"/>
  <c r="R89" i="1"/>
  <c r="R90" i="1"/>
  <c r="R92" i="1"/>
  <c r="R2" i="1"/>
  <c r="P2" i="9"/>
  <c r="P1" i="9"/>
  <c r="Y5" i="4" l="1"/>
  <c r="Y6" i="4"/>
  <c r="Y2" i="4"/>
  <c r="Y3" i="4"/>
  <c r="K6" i="4"/>
  <c r="Y7" i="4"/>
  <c r="Y4" i="4"/>
  <c r="K2" i="4"/>
  <c r="K4" i="4"/>
  <c r="K7" i="4"/>
  <c r="K5" i="4"/>
  <c r="K3" i="4"/>
  <c r="O7" i="4" l="1"/>
  <c r="P7" i="4"/>
  <c r="Q7" i="4"/>
  <c r="O5" i="4"/>
  <c r="P5" i="4"/>
  <c r="Q5" i="4"/>
  <c r="O4" i="4"/>
  <c r="P4" i="4"/>
  <c r="Q4" i="4"/>
  <c r="O3" i="4"/>
  <c r="P3" i="4"/>
  <c r="Q3" i="4"/>
  <c r="O2" i="4"/>
  <c r="P2" i="4"/>
  <c r="Q2" i="4"/>
  <c r="O6" i="4"/>
  <c r="P6" i="4"/>
  <c r="Q6" i="4"/>
  <c r="X7" i="4"/>
  <c r="X4" i="4"/>
  <c r="X2" i="4"/>
  <c r="X3" i="4"/>
  <c r="X5" i="4"/>
  <c r="X6" i="4"/>
  <c r="L4" i="4"/>
  <c r="L5" i="4"/>
  <c r="L3" i="4"/>
  <c r="L6" i="4"/>
  <c r="L2" i="4"/>
  <c r="L7" i="4"/>
  <c r="S7" i="4" l="1"/>
  <c r="S2" i="4"/>
  <c r="S4" i="4"/>
  <c r="S6" i="4"/>
  <c r="S3" i="4"/>
  <c r="D21" i="6"/>
  <c r="S5" i="4"/>
  <c r="M3" i="4" l="1"/>
  <c r="M6" i="4"/>
  <c r="M4" i="4"/>
  <c r="W4" i="4" s="1"/>
  <c r="M7" i="4"/>
  <c r="M2" i="4"/>
  <c r="D22" i="6"/>
  <c r="F22" i="6" s="1"/>
  <c r="M5" i="4"/>
  <c r="W5" i="4" s="1"/>
  <c r="F21" i="6"/>
  <c r="E21" i="6"/>
  <c r="V6" i="4" l="1"/>
  <c r="W6" i="4"/>
  <c r="U3" i="4"/>
  <c r="W3" i="4"/>
  <c r="U2" i="4"/>
  <c r="W2" i="4"/>
  <c r="V7" i="4"/>
  <c r="W7" i="4"/>
  <c r="V3" i="4"/>
  <c r="N3" i="4"/>
  <c r="V4" i="4"/>
  <c r="U4" i="4"/>
  <c r="N4" i="4"/>
  <c r="N2" i="4"/>
  <c r="N7" i="4"/>
  <c r="U7" i="4"/>
  <c r="T4" i="4"/>
  <c r="T5" i="4"/>
  <c r="T6" i="4"/>
  <c r="N6" i="4"/>
  <c r="T2" i="4"/>
  <c r="U6" i="4"/>
  <c r="T7" i="4"/>
  <c r="T3" i="4"/>
  <c r="V2" i="4"/>
  <c r="E20" i="6"/>
  <c r="E22" i="6"/>
  <c r="U5" i="4"/>
  <c r="N5" i="4"/>
  <c r="V5" i="4"/>
  <c r="M64" i="13" l="1"/>
  <c r="M56" i="13"/>
  <c r="M50" i="13"/>
  <c r="M44" i="13"/>
  <c r="M40" i="13"/>
  <c r="M30" i="13"/>
  <c r="M20" i="13"/>
  <c r="M13" i="13"/>
  <c r="M62" i="13"/>
  <c r="M55" i="13"/>
  <c r="M54" i="13" s="1"/>
  <c r="M47" i="13"/>
  <c r="M43" i="13"/>
  <c r="M35" i="13"/>
  <c r="M28" i="13"/>
  <c r="M19" i="13"/>
  <c r="M12" i="13"/>
  <c r="M61" i="13"/>
  <c r="M52" i="13"/>
  <c r="M46" i="13"/>
  <c r="M42" i="13"/>
  <c r="M34" i="13"/>
  <c r="M27" i="13"/>
  <c r="M17" i="13"/>
  <c r="M65" i="13"/>
  <c r="M60" i="13"/>
  <c r="M51" i="13"/>
  <c r="M45" i="13"/>
  <c r="M41" i="13"/>
  <c r="M33" i="13"/>
  <c r="M21" i="13"/>
  <c r="M15" i="13"/>
  <c r="M24" i="13"/>
  <c r="M26" i="13"/>
  <c r="M48" i="13"/>
  <c r="M68" i="13"/>
  <c r="M18" i="13"/>
  <c r="M36" i="13"/>
  <c r="M32" i="13" s="1"/>
  <c r="M73" i="13"/>
  <c r="M59" i="13"/>
  <c r="M58" i="13"/>
  <c r="M72" i="13"/>
  <c r="M67" i="13"/>
  <c r="M66" i="13"/>
  <c r="M69" i="13"/>
  <c r="M11" i="13"/>
  <c r="M23" i="13"/>
  <c r="M57" i="13"/>
  <c r="M70" i="13"/>
  <c r="M28" i="15"/>
  <c r="P83" i="9"/>
  <c r="P77" i="9"/>
  <c r="P72" i="9"/>
  <c r="P67" i="9"/>
  <c r="P62" i="9"/>
  <c r="P57" i="9"/>
  <c r="P51" i="9"/>
  <c r="P46" i="9"/>
  <c r="P39" i="9"/>
  <c r="P35" i="9"/>
  <c r="P29" i="9"/>
  <c r="P24" i="9"/>
  <c r="P17" i="9"/>
  <c r="P12" i="9"/>
  <c r="P80" i="9"/>
  <c r="P70" i="9"/>
  <c r="P60" i="9"/>
  <c r="P55" i="9"/>
  <c r="P42" i="9"/>
  <c r="P32" i="9"/>
  <c r="P20" i="9"/>
  <c r="P14" i="9"/>
  <c r="P82" i="9"/>
  <c r="P76" i="9"/>
  <c r="P71" i="9"/>
  <c r="P66" i="9"/>
  <c r="P61" i="9"/>
  <c r="P56" i="9"/>
  <c r="P50" i="9"/>
  <c r="P43" i="9"/>
  <c r="P38" i="9"/>
  <c r="P33" i="9"/>
  <c r="P28" i="9"/>
  <c r="P23" i="9"/>
  <c r="P16" i="9"/>
  <c r="P74" i="9"/>
  <c r="P65" i="9"/>
  <c r="P49" i="9"/>
  <c r="P37" i="9"/>
  <c r="P26" i="9"/>
  <c r="P15" i="9"/>
  <c r="P84" i="9"/>
  <c r="P79" i="9"/>
  <c r="P73" i="9"/>
  <c r="P69" i="9"/>
  <c r="P63" i="9"/>
  <c r="P58" i="9"/>
  <c r="P52" i="9"/>
  <c r="P47" i="9"/>
  <c r="P40" i="9"/>
  <c r="P36" i="9"/>
  <c r="P30" i="9"/>
  <c r="P25" i="9"/>
  <c r="P19" i="9"/>
  <c r="N83" i="9"/>
  <c r="N65" i="9"/>
  <c r="N42" i="9"/>
  <c r="N23" i="9"/>
  <c r="N51" i="9"/>
  <c r="N12" i="9"/>
  <c r="N66" i="9"/>
  <c r="N24" i="9"/>
  <c r="N69" i="9"/>
  <c r="N47" i="9"/>
  <c r="N17" i="9"/>
  <c r="N46" i="9"/>
  <c r="N80" i="9"/>
  <c r="N39" i="9"/>
  <c r="N79" i="9"/>
  <c r="N60" i="9"/>
  <c r="N38" i="9"/>
  <c r="N14" i="9"/>
  <c r="N40" i="9"/>
  <c r="N56" i="9"/>
  <c r="N15" i="9"/>
  <c r="N63" i="9"/>
  <c r="N37" i="9"/>
  <c r="N77" i="9"/>
  <c r="N36" i="9"/>
  <c r="N71" i="9"/>
  <c r="N29" i="9"/>
  <c r="N74" i="9"/>
  <c r="N55" i="9"/>
  <c r="N33" i="9"/>
  <c r="N72" i="9"/>
  <c r="N30" i="9"/>
  <c r="N84" i="9"/>
  <c r="N43" i="9"/>
  <c r="N82" i="9"/>
  <c r="N58" i="9"/>
  <c r="N32" i="9"/>
  <c r="N67" i="9"/>
  <c r="N25" i="9"/>
  <c r="N61" i="9"/>
  <c r="N19" i="9"/>
  <c r="N70" i="9"/>
  <c r="N49" i="9"/>
  <c r="N28" i="9"/>
  <c r="N62" i="9"/>
  <c r="N20" i="9"/>
  <c r="N76" i="9"/>
  <c r="N35" i="9"/>
  <c r="N52" i="9"/>
  <c r="N26" i="9"/>
  <c r="N16" i="9"/>
  <c r="N73" i="9"/>
  <c r="N57" i="9"/>
  <c r="N50" i="9"/>
  <c r="M58" i="15"/>
  <c r="M61" i="15"/>
  <c r="M59" i="15"/>
  <c r="M12" i="9"/>
  <c r="M54" i="15"/>
  <c r="M53" i="15"/>
  <c r="M47" i="15"/>
  <c r="M41" i="15"/>
  <c r="M35" i="15"/>
  <c r="M30" i="15"/>
  <c r="M51" i="15"/>
  <c r="M33" i="15"/>
  <c r="M48" i="15"/>
  <c r="M36" i="15"/>
  <c r="M52" i="15"/>
  <c r="M45" i="15"/>
  <c r="M40" i="15"/>
  <c r="M34" i="15"/>
  <c r="M29" i="15"/>
  <c r="M44" i="15"/>
  <c r="M39" i="15"/>
  <c r="M43" i="15"/>
  <c r="M32" i="15"/>
  <c r="M26" i="15"/>
  <c r="M20" i="15"/>
  <c r="M19" i="15"/>
  <c r="M24" i="15"/>
  <c r="M25" i="15"/>
  <c r="M17" i="15"/>
  <c r="M23" i="15"/>
  <c r="M14" i="15"/>
  <c r="M9" i="15"/>
  <c r="M15" i="15"/>
  <c r="M13" i="15"/>
  <c r="M11" i="15"/>
  <c r="M12" i="15"/>
  <c r="L11" i="13"/>
  <c r="L13" i="13"/>
  <c r="L12" i="13"/>
  <c r="L72" i="13"/>
  <c r="L64" i="13"/>
  <c r="L52" i="13"/>
  <c r="L36" i="13"/>
  <c r="L73" i="13"/>
  <c r="L61" i="13"/>
  <c r="L51" i="13"/>
  <c r="L41" i="13"/>
  <c r="L27" i="13"/>
  <c r="L17" i="13"/>
  <c r="L46" i="13"/>
  <c r="L26" i="13"/>
  <c r="L70" i="13"/>
  <c r="L62" i="13"/>
  <c r="L48" i="13"/>
  <c r="L28" i="13"/>
  <c r="L69" i="13"/>
  <c r="L59" i="13"/>
  <c r="L47" i="13"/>
  <c r="L35" i="13"/>
  <c r="L23" i="13"/>
  <c r="L15" i="13"/>
  <c r="L42" i="13"/>
  <c r="L18" i="13"/>
  <c r="L68" i="13"/>
  <c r="L58" i="13"/>
  <c r="L44" i="13"/>
  <c r="L24" i="13"/>
  <c r="L67" i="13"/>
  <c r="L57" i="13"/>
  <c r="L45" i="13"/>
  <c r="L33" i="13"/>
  <c r="L21" i="13"/>
  <c r="L60" i="13"/>
  <c r="L34" i="13"/>
  <c r="L66" i="13"/>
  <c r="L56" i="13"/>
  <c r="L40" i="13"/>
  <c r="L20" i="13"/>
  <c r="L65" i="13"/>
  <c r="L55" i="13"/>
  <c r="L43" i="13"/>
  <c r="L19" i="13"/>
  <c r="L50" i="13"/>
  <c r="L30" i="13"/>
  <c r="M73" i="9"/>
  <c r="M72" i="9"/>
  <c r="M69" i="9"/>
  <c r="M82" i="9"/>
  <c r="M14" i="9"/>
  <c r="M67" i="9"/>
  <c r="M76" i="9"/>
  <c r="M80" i="9"/>
  <c r="M66" i="9"/>
  <c r="M65" i="9"/>
  <c r="M77" i="9"/>
  <c r="M84" i="9"/>
  <c r="M71" i="9"/>
  <c r="M74" i="9"/>
  <c r="M83" i="9"/>
  <c r="M79" i="9"/>
  <c r="M70" i="9"/>
  <c r="M60" i="9"/>
  <c r="M46" i="9"/>
  <c r="M36" i="9"/>
  <c r="M23" i="9"/>
  <c r="M43" i="9"/>
  <c r="M17" i="9"/>
  <c r="M62" i="9"/>
  <c r="M52" i="9"/>
  <c r="M26" i="9"/>
  <c r="M49" i="9"/>
  <c r="M58" i="9"/>
  <c r="M56" i="9"/>
  <c r="M30" i="9"/>
  <c r="M37" i="9"/>
  <c r="M25" i="9"/>
  <c r="M38" i="9"/>
  <c r="M51" i="9"/>
  <c r="M20" i="9"/>
  <c r="M42" i="9"/>
  <c r="M57" i="9"/>
  <c r="M47" i="9"/>
  <c r="M28" i="9"/>
  <c r="M50" i="9"/>
  <c r="M29" i="9"/>
  <c r="M19" i="9"/>
  <c r="M63" i="9"/>
  <c r="M32" i="9"/>
  <c r="M55" i="9"/>
  <c r="M24" i="9"/>
  <c r="M33" i="9"/>
  <c r="M39" i="9"/>
  <c r="M15" i="9"/>
  <c r="M35" i="9"/>
  <c r="M16" i="9"/>
  <c r="M61" i="9"/>
  <c r="M40" i="9"/>
  <c r="P18" i="9" l="1"/>
  <c r="N38" i="15"/>
  <c r="N55" i="15" s="1"/>
  <c r="M49" i="13"/>
  <c r="M22" i="13"/>
  <c r="M10" i="13"/>
  <c r="M71" i="13"/>
  <c r="M25" i="13"/>
  <c r="M39" i="13"/>
  <c r="M63" i="13"/>
  <c r="M53" i="13" s="1"/>
  <c r="M16" i="13"/>
  <c r="M14" i="13" s="1"/>
  <c r="P78" i="9"/>
  <c r="M38" i="15"/>
  <c r="P75" i="9"/>
  <c r="O50" i="9"/>
  <c r="O12" i="9"/>
  <c r="N27" i="9"/>
  <c r="N78" i="9"/>
  <c r="N81" i="9"/>
  <c r="O66" i="9"/>
  <c r="P27" i="9"/>
  <c r="P13" i="9"/>
  <c r="P11" i="9" s="1"/>
  <c r="N31" i="9"/>
  <c r="N13" i="9"/>
  <c r="N59" i="9"/>
  <c r="N54" i="9" s="1"/>
  <c r="M57" i="15"/>
  <c r="N75" i="9"/>
  <c r="N48" i="9"/>
  <c r="N45" i="9" s="1"/>
  <c r="N41" i="9"/>
  <c r="N34" i="9" s="1"/>
  <c r="P59" i="9"/>
  <c r="P54" i="9" s="1"/>
  <c r="P68" i="9"/>
  <c r="P64" i="9" s="1"/>
  <c r="P48" i="9"/>
  <c r="P45" i="9" s="1"/>
  <c r="P81" i="9"/>
  <c r="P31" i="9"/>
  <c r="N22" i="9"/>
  <c r="N18" i="9"/>
  <c r="N68" i="9"/>
  <c r="N64" i="9" s="1"/>
  <c r="P22" i="9"/>
  <c r="P41" i="9"/>
  <c r="P34" i="9" s="1"/>
  <c r="M42" i="15"/>
  <c r="M31" i="15"/>
  <c r="M50" i="15"/>
  <c r="M49" i="15"/>
  <c r="M46" i="15"/>
  <c r="M27" i="15"/>
  <c r="M18" i="15"/>
  <c r="M16" i="15" s="1"/>
  <c r="O71" i="9"/>
  <c r="M22" i="15"/>
  <c r="M21" i="15" s="1"/>
  <c r="M10" i="15"/>
  <c r="O32" i="9"/>
  <c r="O28" i="9"/>
  <c r="O16" i="9"/>
  <c r="O33" i="9"/>
  <c r="O58" i="9"/>
  <c r="O62" i="9"/>
  <c r="O25" i="9"/>
  <c r="O84" i="9"/>
  <c r="O80" i="9"/>
  <c r="L22" i="13"/>
  <c r="O24" i="9"/>
  <c r="O19" i="9"/>
  <c r="O37" i="9"/>
  <c r="L49" i="13"/>
  <c r="L54" i="13"/>
  <c r="L32" i="13"/>
  <c r="O56" i="9"/>
  <c r="O23" i="9"/>
  <c r="O14" i="9"/>
  <c r="O73" i="9"/>
  <c r="L71" i="13"/>
  <c r="L25" i="13"/>
  <c r="O61" i="9"/>
  <c r="O39" i="9"/>
  <c r="O38" i="9"/>
  <c r="O70" i="9"/>
  <c r="L39" i="13"/>
  <c r="L16" i="13"/>
  <c r="L14" i="13" s="1"/>
  <c r="L63" i="13"/>
  <c r="L10" i="13"/>
  <c r="O47" i="9"/>
  <c r="O20" i="9"/>
  <c r="O63" i="9"/>
  <c r="O42" i="9"/>
  <c r="O36" i="9"/>
  <c r="O17" i="9"/>
  <c r="M13" i="9"/>
  <c r="O30" i="9"/>
  <c r="O26" i="9"/>
  <c r="O43" i="9"/>
  <c r="O60" i="9"/>
  <c r="O67" i="9"/>
  <c r="O72" i="9"/>
  <c r="O52" i="9"/>
  <c r="O79" i="9"/>
  <c r="M78" i="9"/>
  <c r="M81" i="9"/>
  <c r="O82" i="9"/>
  <c r="O35" i="9"/>
  <c r="O49" i="9"/>
  <c r="O83" i="9"/>
  <c r="O77" i="9"/>
  <c r="O76" i="9"/>
  <c r="M75" i="9"/>
  <c r="M68" i="9"/>
  <c r="M64" i="9" s="1"/>
  <c r="O69" i="9"/>
  <c r="O29" i="9"/>
  <c r="O57" i="9"/>
  <c r="O51" i="9"/>
  <c r="O74" i="9"/>
  <c r="O65" i="9"/>
  <c r="O46" i="9"/>
  <c r="O40" i="9"/>
  <c r="O15" i="9"/>
  <c r="O55" i="9"/>
  <c r="M18" i="9"/>
  <c r="M27" i="9"/>
  <c r="M22" i="9"/>
  <c r="M41" i="9"/>
  <c r="M48" i="9"/>
  <c r="M31" i="9"/>
  <c r="M59" i="9"/>
  <c r="M55" i="15" l="1"/>
  <c r="M38" i="13"/>
  <c r="M37" i="13" s="1"/>
  <c r="M31" i="13" s="1"/>
  <c r="O13" i="9"/>
  <c r="N21" i="9"/>
  <c r="P53" i="9"/>
  <c r="P44" i="9" s="1"/>
  <c r="N53" i="9"/>
  <c r="N44" i="9" s="1"/>
  <c r="P21" i="9"/>
  <c r="P10" i="9" s="1"/>
  <c r="N63" i="15"/>
  <c r="N11" i="9"/>
  <c r="M63" i="15"/>
  <c r="M37" i="15"/>
  <c r="O81" i="9"/>
  <c r="O48" i="9"/>
  <c r="O59" i="9"/>
  <c r="L38" i="13"/>
  <c r="O75" i="9"/>
  <c r="O18" i="9"/>
  <c r="L53" i="13"/>
  <c r="O27" i="9"/>
  <c r="O31" i="9"/>
  <c r="O22" i="9"/>
  <c r="O64" i="9"/>
  <c r="O68" i="9"/>
  <c r="O78" i="9"/>
  <c r="M34" i="9"/>
  <c r="O34" i="9" s="1"/>
  <c r="O41" i="9"/>
  <c r="M21" i="9"/>
  <c r="M54" i="9"/>
  <c r="O54" i="9" s="1"/>
  <c r="M45" i="9"/>
  <c r="O45" i="9" s="1"/>
  <c r="M11" i="9"/>
  <c r="N10" i="9" l="1"/>
  <c r="N8" i="9" s="1"/>
  <c r="O11" i="9"/>
  <c r="N56" i="15"/>
  <c r="N60" i="15" s="1"/>
  <c r="N62" i="15" s="1"/>
  <c r="M56" i="15"/>
  <c r="M60" i="15" s="1"/>
  <c r="M62" i="15" s="1"/>
  <c r="D28" i="6" s="1"/>
  <c r="L37" i="13"/>
  <c r="L31" i="13" s="1"/>
  <c r="O21" i="9"/>
  <c r="M53" i="9"/>
  <c r="O53" i="9" s="1"/>
  <c r="M29" i="13" l="1"/>
  <c r="E28" i="6"/>
  <c r="Q7" i="15"/>
  <c r="E35" i="6" s="1"/>
  <c r="Q5" i="15"/>
  <c r="P7" i="15"/>
  <c r="D35" i="6" s="1"/>
  <c r="P5" i="15"/>
  <c r="L29" i="13"/>
  <c r="P8" i="9"/>
  <c r="M44" i="9"/>
  <c r="L9" i="13" l="1"/>
  <c r="O5" i="13" s="1"/>
  <c r="D29" i="6"/>
  <c r="D30" i="6" s="1"/>
  <c r="M9" i="13"/>
  <c r="P7" i="13" s="1"/>
  <c r="E29" i="6"/>
  <c r="E30" i="6" s="1"/>
  <c r="F35" i="6"/>
  <c r="S7" i="9"/>
  <c r="E33" i="6" s="1"/>
  <c r="E25" i="6"/>
  <c r="S5" i="9"/>
  <c r="O44" i="9"/>
  <c r="L8" i="13" l="1"/>
  <c r="P5" i="13"/>
  <c r="M8" i="13"/>
  <c r="F30" i="6"/>
  <c r="M10" i="9" l="1"/>
  <c r="O10" i="9" l="1"/>
  <c r="R5" i="9"/>
  <c r="R7" i="9"/>
  <c r="D33" i="6" s="1"/>
  <c r="F33" i="6" s="1"/>
  <c r="M8" i="9"/>
  <c r="O8" i="9" s="1"/>
  <c r="O7" i="13" s="1"/>
  <c r="D25" i="6" l="1"/>
  <c r="D34" i="6"/>
  <c r="D26" i="6"/>
  <c r="D27" i="6" l="1"/>
  <c r="E26" i="6" l="1"/>
  <c r="E27" i="6" s="1"/>
  <c r="F27" i="6" s="1"/>
  <c r="E34" i="6"/>
  <c r="F34" i="6" s="1"/>
</calcChain>
</file>

<file path=xl/sharedStrings.xml><?xml version="1.0" encoding="utf-8"?>
<sst xmlns="http://schemas.openxmlformats.org/spreadsheetml/2006/main" count="5462" uniqueCount="1012">
  <si>
    <t>Nehmotné výsledky výzkumu a vývoje</t>
  </si>
  <si>
    <t>Software</t>
  </si>
  <si>
    <t>Ocenitelná práva</t>
  </si>
  <si>
    <t>Goodwill</t>
  </si>
  <si>
    <t>Stavby</t>
  </si>
  <si>
    <t>Pěstitelské celky trvalých porostů</t>
  </si>
  <si>
    <t>Dospělá zvířata a jejich skupiny</t>
  </si>
  <si>
    <t>Jiný dlouhodobý hmotný majetek</t>
  </si>
  <si>
    <t>Pozemky</t>
  </si>
  <si>
    <t>Umělecká díla a sbírky</t>
  </si>
  <si>
    <t>Pořízení dlouhodobého finančního majetku</t>
  </si>
  <si>
    <t>Poskytnuté zálohy na dlouhodobý nehmotný majetek</t>
  </si>
  <si>
    <t>Poskytnuté zálohy na dlouhodobý hmotný majetek</t>
  </si>
  <si>
    <t>Poskytnuté zálohy na dlouhodobý finanční majetek</t>
  </si>
  <si>
    <t>Ostatní cenné papíry a podíly</t>
  </si>
  <si>
    <t>Dluhové cenné papíry držené do splatnosti</t>
  </si>
  <si>
    <t>Jiný dlouhodobý finanční majetek</t>
  </si>
  <si>
    <t>Oprávky k nehmotným výsledkům výzkumu a vývoje</t>
  </si>
  <si>
    <t>Oprávky k softwaru</t>
  </si>
  <si>
    <t>Oprávky ke goodwillu</t>
  </si>
  <si>
    <t>Oprávky ke stavbám</t>
  </si>
  <si>
    <t>Oprávky k pěstitelským celkům trvalých porostů</t>
  </si>
  <si>
    <t>Oprávky k základnímu stádu a tažným zvířatům</t>
  </si>
  <si>
    <t>Oprávky k jinému dlouhodobému hmotnému majetku</t>
  </si>
  <si>
    <t>Opravná položka k dlouhodobému nehmotnému majetku</t>
  </si>
  <si>
    <t>Opravná položka k dlouhodobému hmotnému majetku</t>
  </si>
  <si>
    <t>Opravná položka k dlouhodobému nedokončenému nehmotnému majetku</t>
  </si>
  <si>
    <t>Opravná položka k dlouhodobému nedokončenému hmotnému majetku</t>
  </si>
  <si>
    <t>Opravná položka k poskytnutým zálohám na dlouhodobý majetek</t>
  </si>
  <si>
    <t>Opravná položka k dlouhodobému finančnímu majetku</t>
  </si>
  <si>
    <t>Oceňovací rozdíl k nabytému majetku</t>
  </si>
  <si>
    <t>Oprávky k oceňovacímu rozdílu k nabytému majetku</t>
  </si>
  <si>
    <t>Pořízení materiálu</t>
  </si>
  <si>
    <t>Materiál na skladě</t>
  </si>
  <si>
    <t>Materiál na cestě</t>
  </si>
  <si>
    <t>Nedokončená výroba</t>
  </si>
  <si>
    <t>Polotovary vlastní výroby</t>
  </si>
  <si>
    <t>Výrobky</t>
  </si>
  <si>
    <t>Mladá a ostatní zvířata a jejich skupiny</t>
  </si>
  <si>
    <t>Pořízení zboží</t>
  </si>
  <si>
    <t>Zboží na skladě a v prodejnách</t>
  </si>
  <si>
    <t>Zboží na cestě</t>
  </si>
  <si>
    <t>Poskytnuté zálohy na materiál</t>
  </si>
  <si>
    <t>Poskytnuté zálohy na zvířata</t>
  </si>
  <si>
    <t>Poskytnuté zálohy na zboží</t>
  </si>
  <si>
    <t>Opravná položka k materiálu</t>
  </si>
  <si>
    <t>Opravná položka k nedokončené výrobě</t>
  </si>
  <si>
    <t>Opravná položka k polotovarům vlastní výroby</t>
  </si>
  <si>
    <t>Opravná položka k výrobkům</t>
  </si>
  <si>
    <t>Opravná položka ke zvířatům</t>
  </si>
  <si>
    <t>Opravná položka ke zboží</t>
  </si>
  <si>
    <t>Opravná položka k zálohám na materiál</t>
  </si>
  <si>
    <t>Opravná položka k zálohám na zboží</t>
  </si>
  <si>
    <t>Opravná položka k zálohám na zvířata</t>
  </si>
  <si>
    <t>Pokladna</t>
  </si>
  <si>
    <t>Ceniny</t>
  </si>
  <si>
    <t>Bankovní účty</t>
  </si>
  <si>
    <t>Eskontní úvěry</t>
  </si>
  <si>
    <t>Emitované krátkodobé dluhopisy</t>
  </si>
  <si>
    <t>Ostatní krátkodobé finanční výpomoci</t>
  </si>
  <si>
    <t>Registrované majetkové cenné papíry k obchodování</t>
  </si>
  <si>
    <t>Vlastní dluhopisy</t>
  </si>
  <si>
    <t>Dluhové cenné papíry se splat. do 1 roku držené do splatnosti</t>
  </si>
  <si>
    <t>Krátkodobý finanční majetek</t>
  </si>
  <si>
    <t>Pořizování krátkodobého finančního majetku</t>
  </si>
  <si>
    <t>Peníze na cestě</t>
  </si>
  <si>
    <t>Opravná položka ke krátkodobému finančnímu majetku</t>
  </si>
  <si>
    <t>typ</t>
  </si>
  <si>
    <t>Pohledávky z obchodních vztahů</t>
  </si>
  <si>
    <t>Směnky k inkasu</t>
  </si>
  <si>
    <t>Pohledávky za eskontované cenné papíry</t>
  </si>
  <si>
    <t>Poskytnuté zálohy - dlouhodobé a krátkodobé</t>
  </si>
  <si>
    <t>Ostatní pohledávky</t>
  </si>
  <si>
    <t>Závazky z obchodních vztahů</t>
  </si>
  <si>
    <t>Směnka k úhradě</t>
  </si>
  <si>
    <t>Přijaté provozní zálohy</t>
  </si>
  <si>
    <t>Zaměstnanci</t>
  </si>
  <si>
    <t>Ostatní závazky vůči zaměstnancům</t>
  </si>
  <si>
    <t>Pohledávky za zaměstnanci</t>
  </si>
  <si>
    <t>Zúčtování s institucemi sociál. zabezpečení a zdravot. pojištění</t>
  </si>
  <si>
    <t>Daň z příjmů</t>
  </si>
  <si>
    <t>Ostatní přímé daně</t>
  </si>
  <si>
    <t>Daň z přidané hodnoty</t>
  </si>
  <si>
    <t>Ostatní daně a poplatky</t>
  </si>
  <si>
    <t>Dotace ze státního rozpočtu</t>
  </si>
  <si>
    <t>Ostatní dotace</t>
  </si>
  <si>
    <t>Vyrovnávací účet pro DPH</t>
  </si>
  <si>
    <t>Pohledávky - ovládající a řídící osoba</t>
  </si>
  <si>
    <t>Pohledávky - podstatný vliv</t>
  </si>
  <si>
    <t>Pohledávky za upsaný základní kapitál</t>
  </si>
  <si>
    <t>Pohledávky za společníky při úhradě ztráty</t>
  </si>
  <si>
    <t>Ostatní pohledávky za společníky a členy družstva</t>
  </si>
  <si>
    <t>Pohledávky za účastníky sdružení</t>
  </si>
  <si>
    <t>Závazky - ovládající a řídící osoba</t>
  </si>
  <si>
    <t>Závazky - podstatný vliv</t>
  </si>
  <si>
    <t>Závazky ke společníkům při rozdělování zisku</t>
  </si>
  <si>
    <t>Ostatní závazky ke společníkům a členům družstva</t>
  </si>
  <si>
    <t>Závazky ke společníkům a členům družstva ze závislé činnosti</t>
  </si>
  <si>
    <t>Závazky z upsaných nesplacených cenných papírů a vkladů</t>
  </si>
  <si>
    <t>Závazky k účastníkům sdružení</t>
  </si>
  <si>
    <t>Pohledávky z prodeje podniku</t>
  </si>
  <si>
    <t>Pohledávky a závazky z pevných termínových operací</t>
  </si>
  <si>
    <t>Pohledávky z pronájmu</t>
  </si>
  <si>
    <t>Pohledávky z emitovaných dluhopisů</t>
  </si>
  <si>
    <t>Nakoupené opce</t>
  </si>
  <si>
    <t>Prodané opce</t>
  </si>
  <si>
    <t>Jiné pohledávky</t>
  </si>
  <si>
    <t>Jiné závazky</t>
  </si>
  <si>
    <t>Náklady příštích období</t>
  </si>
  <si>
    <t>Komplexní náklady příštích období</t>
  </si>
  <si>
    <t>Výdaje příštích období</t>
  </si>
  <si>
    <t>Výnosy příštích období</t>
  </si>
  <si>
    <t>Příjmy příštích období</t>
  </si>
  <si>
    <t>Dohadné účty aktivní</t>
  </si>
  <si>
    <t>Dohadné účty pasivní</t>
  </si>
  <si>
    <t>Opravná položka k pohledávkám</t>
  </si>
  <si>
    <t>Vnitřní zúčtování</t>
  </si>
  <si>
    <t>Spojovací účet při sdružení</t>
  </si>
  <si>
    <t>Základní kapitál</t>
  </si>
  <si>
    <t>Emisní ažio</t>
  </si>
  <si>
    <t>Ostatní kapitálové fondy</t>
  </si>
  <si>
    <t>Oceňovací rozdíly z přecenění majetku a závazků</t>
  </si>
  <si>
    <t>Rozdíly z přeměn společností</t>
  </si>
  <si>
    <t>Oceňovací rozdíly z přecenění při přeměnách společností</t>
  </si>
  <si>
    <t>Změny základního kapitálu</t>
  </si>
  <si>
    <t>Zákonný rezervní fond</t>
  </si>
  <si>
    <t>Nedělitelný fond</t>
  </si>
  <si>
    <t>Statutární fondy</t>
  </si>
  <si>
    <t>Jiný výsledek hospodaření minulých let</t>
  </si>
  <si>
    <t>Ostatní fondy</t>
  </si>
  <si>
    <t>Nerozdělený zisk minulých let</t>
  </si>
  <si>
    <t>Neuhrazená ztráta minulých let</t>
  </si>
  <si>
    <t>Výsledek hospodaření ve schvalovacím řízení</t>
  </si>
  <si>
    <t>Rezervy podle zvláštních právních předpisů</t>
  </si>
  <si>
    <t>Rezerva na důchody a podobné závazky</t>
  </si>
  <si>
    <t>Rezerva na daň z příjmů</t>
  </si>
  <si>
    <t>Ostatní rezervy</t>
  </si>
  <si>
    <t>Dlouhodobé závazky - ovládající a řídící osoba</t>
  </si>
  <si>
    <t>Dlouhodobé závazky - podstatný vliv</t>
  </si>
  <si>
    <t>Emitované dluhopisy</t>
  </si>
  <si>
    <t>Dlouhodobé přijaté zálohy</t>
  </si>
  <si>
    <t>Dlouhodobé směnky k úhradě</t>
  </si>
  <si>
    <t>Jiné dlouhodobé závazky</t>
  </si>
  <si>
    <t>Odložený daňový závazek a pohledávka</t>
  </si>
  <si>
    <t>Účet individuálního podnikatele</t>
  </si>
  <si>
    <t>Spotřeba materiálu</t>
  </si>
  <si>
    <t>Spotřeba energie</t>
  </si>
  <si>
    <t>Spotřeba ostatních neskladovatelných dodávek</t>
  </si>
  <si>
    <t>Prodané zboží</t>
  </si>
  <si>
    <t>Služby</t>
  </si>
  <si>
    <t>Opravy a udržování</t>
  </si>
  <si>
    <t>Cestovné</t>
  </si>
  <si>
    <t>Náklady na reprezentaci</t>
  </si>
  <si>
    <t>Ostatní služby</t>
  </si>
  <si>
    <t>Mzdové náklady</t>
  </si>
  <si>
    <t>Příjmy společníků a členů družstva ze závislé činnosti</t>
  </si>
  <si>
    <t>Odměny členům orgánů společnosti a družstva</t>
  </si>
  <si>
    <t>Zákonné sociální pojištění</t>
  </si>
  <si>
    <t>Ostatní sociální pojištění</t>
  </si>
  <si>
    <t>Sociální náklady individuálního podnikatele</t>
  </si>
  <si>
    <t>Zákonné sociální náklady</t>
  </si>
  <si>
    <t>Ostatní sociální náklady</t>
  </si>
  <si>
    <t>Daně a poplatky</t>
  </si>
  <si>
    <t>Daň silniční</t>
  </si>
  <si>
    <t>Daň z nemovitostí</t>
  </si>
  <si>
    <t>Zůstatková cena prodaného dlouhodobého nehmotného a hmotného majetku</t>
  </si>
  <si>
    <t>Prodaný materiál</t>
  </si>
  <si>
    <t>Dary</t>
  </si>
  <si>
    <t>Smluvní pokuty a úroky z prodlení</t>
  </si>
  <si>
    <t>Ostatní pokuty a penále</t>
  </si>
  <si>
    <t>Odpis pohledávky</t>
  </si>
  <si>
    <t>Ostatní provozní náklady</t>
  </si>
  <si>
    <t>Manka a škody z provozní činnosti</t>
  </si>
  <si>
    <t>Odpisy dlouhodobého nehmotného a hmotného majetku</t>
  </si>
  <si>
    <t>Tvorba a zúčtování rezerv podle zvláštních právních předpisů</t>
  </si>
  <si>
    <t>Tvorba a zúčtování ostatních rezerv</t>
  </si>
  <si>
    <t>Tvorba a zúčtování komplexních nákladů příštích období</t>
  </si>
  <si>
    <t>Zúčtování oprávky k oceňovacímu rozdílu k nabytému majetku</t>
  </si>
  <si>
    <t>Tvorba a zúčtování zákonných opravných položek v provozní činnosti</t>
  </si>
  <si>
    <t>Prodané cenné papíry a podíly</t>
  </si>
  <si>
    <t>Úroky</t>
  </si>
  <si>
    <t>Kurzové ztráty</t>
  </si>
  <si>
    <t>Náklady z přecenění cenných papírů</t>
  </si>
  <si>
    <t>Náklady z finančního majetku</t>
  </si>
  <si>
    <t>Náklady z derivátových operací</t>
  </si>
  <si>
    <t>Ostatní finanční náklady</t>
  </si>
  <si>
    <t>Manka a škody na finančním majetku</t>
  </si>
  <si>
    <t>Tvorba a zúčtování finančních rezerv</t>
  </si>
  <si>
    <t>Tvorba a zúčtování opravných položek ve finanční činnosti</t>
  </si>
  <si>
    <t>Mimořádné náklady</t>
  </si>
  <si>
    <t>Dodatečné odvody daně z příjmů</t>
  </si>
  <si>
    <t>Převod podílu na výsledku hospodaření společníkům</t>
  </si>
  <si>
    <t>Převod provozních nákladů</t>
  </si>
  <si>
    <t>Převod finančních nákladů</t>
  </si>
  <si>
    <t>Tržby za vlastní výrobky</t>
  </si>
  <si>
    <t>Tržby z prodeje služeb</t>
  </si>
  <si>
    <t>Tržby za zboží</t>
  </si>
  <si>
    <t>Změna stavu nedokončené výroby</t>
  </si>
  <si>
    <t>Změna stavu polotovarů vlastní výroby</t>
  </si>
  <si>
    <t>Změna stavu výrobků</t>
  </si>
  <si>
    <t>Změna stavu zvířat</t>
  </si>
  <si>
    <t>Aktivace</t>
  </si>
  <si>
    <t>Aktivace materiálu a zboží</t>
  </si>
  <si>
    <t>Aktivace vnitropodnikových služeb</t>
  </si>
  <si>
    <t>Aktivace dlouhodobého nehmotného majetku</t>
  </si>
  <si>
    <t>Aktivace dlouhodobého hmotného majetku</t>
  </si>
  <si>
    <t>Tržby z prodeje dlouhodobého nehmotného a hmotného majetku</t>
  </si>
  <si>
    <t>Tržby z prodeje materiálu</t>
  </si>
  <si>
    <t>Výnosy z odepsaných pohledávek</t>
  </si>
  <si>
    <t>Ostatní provozní výnosy</t>
  </si>
  <si>
    <t>Tržby z prodeje cenných papírů a podílů</t>
  </si>
  <si>
    <t>Kursové zisky</t>
  </si>
  <si>
    <t>Výnosy z přecenění cenných papírů</t>
  </si>
  <si>
    <t>Výnosy z dlouhodobého finančního majetku</t>
  </si>
  <si>
    <t>Výnosy z krátkodobého finančního majetku</t>
  </si>
  <si>
    <t>Výnosy z derivátových operací</t>
  </si>
  <si>
    <t>Ostatní finanční výnosy</t>
  </si>
  <si>
    <t>Převod provozních výnosů</t>
  </si>
  <si>
    <t>Převod finančních výnosů</t>
  </si>
  <si>
    <t>Počáteční účet rozvažný</t>
  </si>
  <si>
    <t>Konečný účet rozvažný</t>
  </si>
  <si>
    <t>Účet zisků a ztrát</t>
  </si>
  <si>
    <t>ucet_synt</t>
  </si>
  <si>
    <t>ucet_synt_nazev</t>
  </si>
  <si>
    <t>Materiál</t>
  </si>
  <si>
    <t>Zboží</t>
  </si>
  <si>
    <t>zustatek</t>
  </si>
  <si>
    <t>ucet_an_nazev</t>
  </si>
  <si>
    <t>datum</t>
  </si>
  <si>
    <t>Poskytnuté zálohy na zásoby</t>
  </si>
  <si>
    <t>Krátkodobé finanční výpomoci</t>
  </si>
  <si>
    <t>výkaz</t>
  </si>
  <si>
    <t>a1</t>
  </si>
  <si>
    <t>a2</t>
  </si>
  <si>
    <t>a3</t>
  </si>
  <si>
    <t>b</t>
  </si>
  <si>
    <t>c</t>
  </si>
  <si>
    <t>A.</t>
  </si>
  <si>
    <t>B.</t>
  </si>
  <si>
    <t>I.</t>
  </si>
  <si>
    <t>1.</t>
  </si>
  <si>
    <t>2.</t>
  </si>
  <si>
    <t>3.</t>
  </si>
  <si>
    <t>4.</t>
  </si>
  <si>
    <t>5.</t>
  </si>
  <si>
    <t>6.</t>
  </si>
  <si>
    <t>7.</t>
  </si>
  <si>
    <t>8.</t>
  </si>
  <si>
    <t>Nedokončený dlouhodobý nehmotný majetek</t>
  </si>
  <si>
    <t>II.</t>
  </si>
  <si>
    <t>9.</t>
  </si>
  <si>
    <t>Nedokončený dlouhodobý hmotný majetek</t>
  </si>
  <si>
    <t>typ sloupce</t>
  </si>
  <si>
    <t>Brutto</t>
  </si>
  <si>
    <t>III.</t>
  </si>
  <si>
    <t>Korekce</t>
  </si>
  <si>
    <t>řád</t>
  </si>
  <si>
    <t>a</t>
  </si>
  <si>
    <t>Netto</t>
  </si>
  <si>
    <t xml:space="preserve">Nehmotné výsledky výzkumu a vývoje </t>
  </si>
  <si>
    <t>Ostatní dlouhodobé cenné papíry a podíly</t>
  </si>
  <si>
    <t>-</t>
  </si>
  <si>
    <t>*</t>
  </si>
  <si>
    <t>zaokr</t>
  </si>
  <si>
    <t>C.</t>
  </si>
  <si>
    <t>Nedokončená výroba a polotovary</t>
  </si>
  <si>
    <t>Pohledávky - ovládaná nebo ovládající osoba</t>
  </si>
  <si>
    <t>Dlouhodobé poskytnuté zálohy</t>
  </si>
  <si>
    <t>Odložená daňová pohledávka</t>
  </si>
  <si>
    <t>Sociální zabezpečení a zdravotní pojištění</t>
  </si>
  <si>
    <t>Stát - daňové pohledávky</t>
  </si>
  <si>
    <t>Krátkodobé poskytnuté zálohy</t>
  </si>
  <si>
    <t>IV.</t>
  </si>
  <si>
    <t>D.</t>
  </si>
  <si>
    <t xml:space="preserve">Náklady příštích období </t>
  </si>
  <si>
    <t>a řád</t>
  </si>
  <si>
    <t>a název</t>
  </si>
  <si>
    <t>p název</t>
  </si>
  <si>
    <t>A</t>
  </si>
  <si>
    <t>Statutární a ostatní fondy</t>
  </si>
  <si>
    <t>V.</t>
  </si>
  <si>
    <t>Závazky - ovládaná nebo ovládající osoba</t>
  </si>
  <si>
    <t>Vydané dluhopisy</t>
  </si>
  <si>
    <t>Dohadné účty pasívní</t>
  </si>
  <si>
    <t>Odložený daňový závazek</t>
  </si>
  <si>
    <t>IČ:</t>
  </si>
  <si>
    <t>ZÁKLADNÍ ÚDAJE:</t>
  </si>
  <si>
    <t>cz název</t>
  </si>
  <si>
    <t>en název</t>
  </si>
  <si>
    <t>de název</t>
  </si>
  <si>
    <t>P</t>
  </si>
  <si>
    <t>Závazky k zaměstnancům</t>
  </si>
  <si>
    <t>Závazky ze sociálního zabezpečení a zdravotního pojištění</t>
  </si>
  <si>
    <t>Stát - daňové závazky a dotace</t>
  </si>
  <si>
    <t xml:space="preserve">Dohadné účty pasivní </t>
  </si>
  <si>
    <t xml:space="preserve">Výnosy příštích období </t>
  </si>
  <si>
    <t>alt řád</t>
  </si>
  <si>
    <t>alt 1</t>
  </si>
  <si>
    <t>alt 2</t>
  </si>
  <si>
    <t>alt 3</t>
  </si>
  <si>
    <t>řádek výkazu</t>
  </si>
  <si>
    <t>Oceňovací rozdíly z přecenění při přeměnách</t>
  </si>
  <si>
    <t>část</t>
  </si>
  <si>
    <t>N</t>
  </si>
  <si>
    <t xml:space="preserve">Tržby za prodej zboží </t>
  </si>
  <si>
    <t>Náklady vynaložené na prodané zboží</t>
  </si>
  <si>
    <t>Spotřeba materiálu a energie</t>
  </si>
  <si>
    <t>Náklady na sociální zabezpečení a zdravotní pojištění</t>
  </si>
  <si>
    <t>Zůstatková cena prodaného dlouhodobého majetku</t>
  </si>
  <si>
    <t>+</t>
  </si>
  <si>
    <t>E.</t>
  </si>
  <si>
    <t>F.</t>
  </si>
  <si>
    <t>G.</t>
  </si>
  <si>
    <t>H.</t>
  </si>
  <si>
    <t>ucet</t>
  </si>
  <si>
    <t>uc_synt</t>
  </si>
  <si>
    <t>A/P a</t>
  </si>
  <si>
    <t>A/P s</t>
  </si>
  <si>
    <t xml:space="preserve">N </t>
  </si>
  <si>
    <t xml:space="preserve">V </t>
  </si>
  <si>
    <t>Z</t>
  </si>
  <si>
    <t>Výnosy z ostatního dlouhodobého finančního majetku</t>
  </si>
  <si>
    <t>VI.</t>
  </si>
  <si>
    <t>J.</t>
  </si>
  <si>
    <t>VII.</t>
  </si>
  <si>
    <t>K.</t>
  </si>
  <si>
    <t>L.</t>
  </si>
  <si>
    <t>M.</t>
  </si>
  <si>
    <t>V1</t>
  </si>
  <si>
    <t>zokrouhleno</t>
  </si>
  <si>
    <t>aktiva</t>
  </si>
  <si>
    <t>pasiva</t>
  </si>
  <si>
    <t>hv ve vzz</t>
  </si>
  <si>
    <t>hv v pasivech</t>
  </si>
  <si>
    <t>Název účetní jednotky:</t>
  </si>
  <si>
    <t>Účetní období pro výkazy:</t>
  </si>
  <si>
    <t>Běžné</t>
  </si>
  <si>
    <t>Minulé</t>
  </si>
  <si>
    <t>část a2</t>
  </si>
  <si>
    <t>řád + řádek</t>
  </si>
  <si>
    <t>běž</t>
  </si>
  <si>
    <t>min</t>
  </si>
  <si>
    <t>Rozvaha</t>
  </si>
  <si>
    <t>Ausstehende Einlagen auf das gezeichnete Kapital</t>
  </si>
  <si>
    <t>Immaterielle Ergebnisse der Forschung und Entwicklung</t>
  </si>
  <si>
    <t>Bewertbare Rechte</t>
  </si>
  <si>
    <t>Sonstige immaterielle Vermögensgegenstände</t>
  </si>
  <si>
    <t>Unfertige immaterielle Vermögensgegenstände</t>
  </si>
  <si>
    <t>Geleistete Anzahlungen auf immaterielle Vermögensgegenstände</t>
  </si>
  <si>
    <t>Grundstücke</t>
  </si>
  <si>
    <t>Bauten</t>
  </si>
  <si>
    <t>Bewegliches Sachanlagevermögen</t>
  </si>
  <si>
    <t>Kulturland</t>
  </si>
  <si>
    <t>Erwachsene Tiere und ihre Gruppen</t>
  </si>
  <si>
    <t>Sonstige Sachanlagen</t>
  </si>
  <si>
    <t>Sachanlagen im Bau</t>
  </si>
  <si>
    <t>Geleistete Anzahlungen auf Sachanlagen</t>
  </si>
  <si>
    <t>Bewertungsunterschied zum erworbenen Vermögen</t>
  </si>
  <si>
    <t>Anteile und Beteiligungen an verbundenen Unternehmen</t>
  </si>
  <si>
    <t>Anteile und Beteiligungen an Unternehmen, mit denen ein Beteiligungsverhältnis besteht</t>
  </si>
  <si>
    <t>Sonstige langfristige Wertpapiere und Beteiligungen</t>
  </si>
  <si>
    <t>Geleistete Anzahlungen auf Finanzanlagen</t>
  </si>
  <si>
    <t>Material</t>
  </si>
  <si>
    <t>Unfertige Erzeugnisse und Halbfabrikate</t>
  </si>
  <si>
    <t>Junge und sonstige Tiere und ihre Gruppen</t>
  </si>
  <si>
    <t>Waren</t>
  </si>
  <si>
    <t>Geleistete Anzahlungen auf Vorräte</t>
  </si>
  <si>
    <t>Forderungen aus Lieferungen und Leistungen</t>
  </si>
  <si>
    <t>Forderungen gegen verbundene Unternehmen</t>
  </si>
  <si>
    <t>Forderungen gegen Unternehmen, mit denen ein Beteiligungsverhältnis besteht</t>
  </si>
  <si>
    <t>Langfristige geleistete Anzahlungen</t>
  </si>
  <si>
    <t>Geschätzte Aktivposten</t>
  </si>
  <si>
    <t>Latente Steuerforderung</t>
  </si>
  <si>
    <t>Sozial- und Krankenversicherung</t>
  </si>
  <si>
    <t>Steuerforderungen</t>
  </si>
  <si>
    <t>Kurzfristige geleistete Anzahlungen</t>
  </si>
  <si>
    <t>Aufwendungen künftiger Perioden</t>
  </si>
  <si>
    <t>Komplexe Aufwendungen künftiger Perioden</t>
  </si>
  <si>
    <t>Einnahmen künftiger Perioden</t>
  </si>
  <si>
    <t>Gezeichnetes Kapital</t>
  </si>
  <si>
    <t>Änderung des gezeichneten Kapitals</t>
  </si>
  <si>
    <t>Sonstige Kapitalrücklagen</t>
  </si>
  <si>
    <t>Bewertungsunterschied aus Umwandlungen</t>
  </si>
  <si>
    <t>Veränderung der Neubewertungsrücklage bei Umwandlungen</t>
  </si>
  <si>
    <t>Satzungsmäßige und sonstige Rücklagen</t>
  </si>
  <si>
    <t>Gewinnvortrag</t>
  </si>
  <si>
    <t>Verlustvortrag</t>
  </si>
  <si>
    <t>Sonstiger Gewinn- /Verlustvortrag</t>
  </si>
  <si>
    <t>Rückstellung für die Einkommensteuer</t>
  </si>
  <si>
    <t>Sonstige Rückstellungen</t>
  </si>
  <si>
    <t>Verbindlichkeiten aus Lieferungen und Leistungen</t>
  </si>
  <si>
    <t>Verbindlichkeiten gegenüber verbundenen Unternehmen</t>
  </si>
  <si>
    <t>Verbindlichkeiten gegenüber Unternehmen, mit denen ein Beteiligungsverhältnis besteht</t>
  </si>
  <si>
    <t>Langfristige erhaltene Anzahlungen</t>
  </si>
  <si>
    <t>Ausgegebene Schuldverschreibungen</t>
  </si>
  <si>
    <t>Langfristige Wechselverbindlichkeiten</t>
  </si>
  <si>
    <t>Geschätzte Passivposten</t>
  </si>
  <si>
    <t>Sonstige Verbindlichkeiten</t>
  </si>
  <si>
    <t>Latente Steuerverbindlichkeit</t>
  </si>
  <si>
    <t>Verbindlichkeiten gegenüber Mitarbeitern</t>
  </si>
  <si>
    <t>Verbindlichkeiten aus der Sozial- und Krankenversicherung</t>
  </si>
  <si>
    <t>Steuerverbindlichkeiten und staatliche Zuschüsse</t>
  </si>
  <si>
    <t>Kurzfristige erhaltene Anzahlungen</t>
  </si>
  <si>
    <t>Ausgaben künftiger Perioden</t>
  </si>
  <si>
    <t>Erträge künftiger Perioden</t>
  </si>
  <si>
    <t>Receivables for subscribed registered capital</t>
  </si>
  <si>
    <t>Research and development</t>
  </si>
  <si>
    <t>Intellectual property rights</t>
  </si>
  <si>
    <t>Other intangible fixed assets</t>
  </si>
  <si>
    <t>Intangible fixed assets under construction</t>
  </si>
  <si>
    <t>Advance payments for intangible fixed assets</t>
  </si>
  <si>
    <t>Land</t>
  </si>
  <si>
    <t>Buildings</t>
  </si>
  <si>
    <t>Plant and equipment</t>
  </si>
  <si>
    <t>Cultivated areas</t>
  </si>
  <si>
    <t>Adult livestock</t>
  </si>
  <si>
    <t>Other tangible fixed assets</t>
  </si>
  <si>
    <t>Tangible fixed assets under construction</t>
  </si>
  <si>
    <t>Advance payments for tangible fixed assets</t>
  </si>
  <si>
    <t>Adjustments to acquired fixed assets</t>
  </si>
  <si>
    <t>Investments in group undertakings</t>
  </si>
  <si>
    <t xml:space="preserve">Investments in associated companies </t>
  </si>
  <si>
    <t>Other long-term securities and ownership interests</t>
  </si>
  <si>
    <t>Advance payments for long-term investments</t>
  </si>
  <si>
    <t>Raw materials</t>
  </si>
  <si>
    <t>Work-in-progress and semi-finished products</t>
  </si>
  <si>
    <t>Young and other livestock</t>
  </si>
  <si>
    <t>Goods for resale</t>
  </si>
  <si>
    <t>Advance payments for inventories</t>
  </si>
  <si>
    <t>Trade receivables</t>
  </si>
  <si>
    <t>Receivables - group undertakings</t>
  </si>
  <si>
    <t xml:space="preserve">Receivables - associated companies </t>
  </si>
  <si>
    <t>Long-term advances paid</t>
  </si>
  <si>
    <t>Estimated receivables</t>
  </si>
  <si>
    <t>Deferred tax asset</t>
  </si>
  <si>
    <t>Social security and health insurance</t>
  </si>
  <si>
    <t>Tax receivables</t>
  </si>
  <si>
    <t>Short-term advances paid</t>
  </si>
  <si>
    <t>Cash</t>
  </si>
  <si>
    <t>Bank accounts</t>
  </si>
  <si>
    <t>Prepaid expenses</t>
  </si>
  <si>
    <t>Complex prepaid expenses</t>
  </si>
  <si>
    <t>Accrued revenues</t>
  </si>
  <si>
    <t>Registered capital</t>
  </si>
  <si>
    <t>Changes in registered capital</t>
  </si>
  <si>
    <t>Share premium</t>
  </si>
  <si>
    <t>Other capital contributions</t>
  </si>
  <si>
    <t>Revaluation of assets and liabilities</t>
  </si>
  <si>
    <t>Revaluation reserve on transformations</t>
  </si>
  <si>
    <t>Differences resulting from transformations</t>
  </si>
  <si>
    <t>Change in revaluation reserve on transformations</t>
  </si>
  <si>
    <t>Statutory and other funds</t>
  </si>
  <si>
    <t>Retained profits</t>
  </si>
  <si>
    <t>Accumulated losses</t>
  </si>
  <si>
    <t>Other retained earnings</t>
  </si>
  <si>
    <t>Tax-deductible provisions</t>
  </si>
  <si>
    <t>Provision for pensions and other similar payables</t>
  </si>
  <si>
    <t>Income tax provision</t>
  </si>
  <si>
    <t>Other provisions</t>
  </si>
  <si>
    <t>Trade payables</t>
  </si>
  <si>
    <t>Liabilities - group undertakings</t>
  </si>
  <si>
    <t>Liabilities - associated companies</t>
  </si>
  <si>
    <t>Long-term advances received</t>
  </si>
  <si>
    <t>Debentures and bonds issued</t>
  </si>
  <si>
    <t>Long-term bills of exchange payable</t>
  </si>
  <si>
    <t>Estimated payables</t>
  </si>
  <si>
    <t>Other payables</t>
  </si>
  <si>
    <t>Deferred tax liability</t>
  </si>
  <si>
    <t>Payables to employees</t>
  </si>
  <si>
    <t>Payables to social security and health insurance</t>
  </si>
  <si>
    <t>Tax liabilities and subsidies</t>
  </si>
  <si>
    <t>Short-term advances received</t>
  </si>
  <si>
    <t>Short-term financial liabilities</t>
  </si>
  <si>
    <t>Accrued expenses</t>
  </si>
  <si>
    <t>Deferred revenues</t>
  </si>
  <si>
    <t>Cost of goods sold</t>
  </si>
  <si>
    <t>Own work capitalized</t>
  </si>
  <si>
    <t>Materials and consumables</t>
  </si>
  <si>
    <t>Services</t>
  </si>
  <si>
    <t>Wages and salaries</t>
  </si>
  <si>
    <t>Social security and health insurance expenses</t>
  </si>
  <si>
    <t>Taxes and charges</t>
  </si>
  <si>
    <t>Proceeds from disposals of fixed assets</t>
  </si>
  <si>
    <t>Proceeds from disposals of raw material</t>
  </si>
  <si>
    <t>Other operating revenues</t>
  </si>
  <si>
    <t>Other operating expenses</t>
  </si>
  <si>
    <t>Securities and ownership interests sold</t>
  </si>
  <si>
    <t>Other financial revenues</t>
  </si>
  <si>
    <t>Other financial expenses</t>
  </si>
  <si>
    <t>Aufwendungen für verkaufte Ware</t>
  </si>
  <si>
    <t>Umsatzerlöse aus dem Verkauf eigener Erzeugnisse und Dienstleistungen</t>
  </si>
  <si>
    <t>Aktivierte Eigenleistungen</t>
  </si>
  <si>
    <t>Material- und Energieverbrauch</t>
  </si>
  <si>
    <t>Bezogene Dienstleistungen</t>
  </si>
  <si>
    <t>Löhne und Gehälter</t>
  </si>
  <si>
    <t>Aufwendungen für die Sozial- und Krankenversicherung</t>
  </si>
  <si>
    <t>Steuern und Gebühren</t>
  </si>
  <si>
    <t xml:space="preserve">Erträge aus dem Verkauf von Gegenständen des Anlagevermögens </t>
  </si>
  <si>
    <t>Erträge aus dem Materialverkauf</t>
  </si>
  <si>
    <t>Restbuchwert der verkauften Gegenstände des Anlagevermögens</t>
  </si>
  <si>
    <t>Sonstige betriebliche Erträge</t>
  </si>
  <si>
    <t>Sonstige betriebliche Aufwendungen</t>
  </si>
  <si>
    <t>Sonstige Finanzerträge</t>
  </si>
  <si>
    <t>Sonstige Finanzaufwendungen</t>
  </si>
  <si>
    <t>v celých Kč</t>
  </si>
  <si>
    <t>v celých tisících Kč</t>
  </si>
  <si>
    <t>in thousands of Czech crowns</t>
  </si>
  <si>
    <t>in Czech crowns</t>
  </si>
  <si>
    <t>Werte in TCZK</t>
  </si>
  <si>
    <t>Werte in CZK</t>
  </si>
  <si>
    <t>Výsledovka</t>
  </si>
  <si>
    <t>Náklady</t>
  </si>
  <si>
    <t>část Výnosy</t>
  </si>
  <si>
    <t>Výnosy</t>
  </si>
  <si>
    <t>Aktiva</t>
  </si>
  <si>
    <t>Pasiva</t>
  </si>
  <si>
    <t>řádek v jazyku výkazu výkazu</t>
  </si>
  <si>
    <t>id_1</t>
  </si>
  <si>
    <t>id_2</t>
  </si>
  <si>
    <t>id_skupina</t>
  </si>
  <si>
    <t>id_3</t>
  </si>
  <si>
    <t>pocatecni zust</t>
  </si>
  <si>
    <t>obrat MD</t>
  </si>
  <si>
    <t>obrat D</t>
  </si>
  <si>
    <t>ř_auto</t>
  </si>
  <si>
    <t>ř_A/P a</t>
  </si>
  <si>
    <t>ř_A/P s</t>
  </si>
  <si>
    <t>ř_ručně</t>
  </si>
  <si>
    <t>ř_final</t>
  </si>
  <si>
    <t>ř_číslo_popis</t>
  </si>
  <si>
    <t>uc_synt_popis</t>
  </si>
  <si>
    <t>ucet_an_cislo_popis</t>
  </si>
  <si>
    <t>zdroj</t>
  </si>
  <si>
    <t>JAK VLOŽIT DATA A VYTVOŘIT VÝKAZY</t>
  </si>
  <si>
    <t>Tento soubor umožňuje sestavit základní finanční výkazy, tedy Rozvahu a Výkaz zisku a ztráty, podle českých účetních standardů. Postup se skládá z následujících kroků:</t>
  </si>
  <si>
    <t>1. Vyplnění základní identifikačních údajů účetní jednotky.</t>
  </si>
  <si>
    <t>2. Vložení obratové předvahy za vybraná období.</t>
  </si>
  <si>
    <t>3. Doplnění nestandardních úprav a tzv. reklasifikací.</t>
  </si>
  <si>
    <t>4. Ruční přiřazení vybraných účtů do řádků účetních výkazů.</t>
  </si>
  <si>
    <t>5. Kontrola a úprava zaokrouhlení.</t>
  </si>
  <si>
    <t>Následuje detailní postup k jednotlivým krokům.</t>
  </si>
  <si>
    <t>list "INDEX"</t>
  </si>
  <si>
    <t>a) v listu "INDEX" je potřeba nejprve zadat základní identifikační údaje účetní jednotky, jako název, adresu a IČ.</t>
  </si>
  <si>
    <t>c) dále se vyplňuje počet pozic v číslech účtů, které budou nataženy ve formě obratové předvahy</t>
  </si>
  <si>
    <t>např. pokud jsou účty ve tvaru 321100, mají 6 pozic, zadá se tedy 6; pokud mají účty tvar 3211, mají 4 pozice, zadá se tedy 4, atd.</t>
  </si>
  <si>
    <t>d) vyberte jednotku výkazu</t>
  </si>
  <si>
    <t>Jednotka výkazu:</t>
  </si>
  <si>
    <t>Jazyk výkazu:</t>
  </si>
  <si>
    <t>list "DATA"</t>
  </si>
  <si>
    <t>POZOR: po nakopírování musí záhlaví sloupců v řádku 1 přesně odpovídat jejich obsahu!</t>
  </si>
  <si>
    <t>Pokud tomu tak není, vraťte nakopírování zpět, upravte pořadí sloupců a nakopírujte znovu</t>
  </si>
  <si>
    <t>c) pokud provedete správně vložení (nakopírování) obratové předvahy do sloupců C až I, dojde k automatickému vyplnění vzorců ve sloupcích K až Y</t>
  </si>
  <si>
    <t>Jakoukoliv dodatečnou úpravu či reklasifikaci proveďte následujícím způsobem:</t>
  </si>
  <si>
    <t>a) úpravu či reklasifikaci vložte jako nové řádky do listu "DATA" (sloupce C až I, popř. zadejte ručně řádek výkazu do sloupce R)</t>
  </si>
  <si>
    <t>b) po vložení by mělo dojít k automatickému rozkopírování vzorců z předchozích řádků</t>
  </si>
  <si>
    <t>c) pro odlišení těchto ručních úprav od importovaných řádků doporučujeme do sloupce B zadat např. "reclass", "adjust" atd.</t>
  </si>
  <si>
    <t>d) do sloupce E pak doporučujeme pro snadnější orientaci zadata místo názvu účtu podrobnější popis nebo poznámku</t>
  </si>
  <si>
    <t>POZOR: nezapomeňte, že většina těchto ručních úprav má podvojný charakter, je tedy potřeba zadat je ve dvou řádcích - jednou s kladnou a jednou se zápornou hodnotou</t>
  </si>
  <si>
    <t>Posledním krokem ke správnému sestavení výkazů je ruční přiřazení některých účtů do řádků účetních výkazů. Toto ruční přiřazení může být relevantní v následujících situacích:</t>
  </si>
  <si>
    <t>a) přiřazení některých účtů do řádků výkazů jednoznačně nevyplývá ani z legislativních předpisů (např. účty 391x OP k pohledávkám může mít krátkodobý nebo dlouhodobý charakter)</t>
  </si>
  <si>
    <t>Poznámka: Jsme si vědomi, že sebelépe napsaný návod někdy nestačí a případné problémy je potřeba prodiskutovat osobně nebo alespoň telefonicky. Pokud se náhodou během práce se souborem vyskytnete ve slepé uličce, nebojte se zavolat či napsat e-mail. Určitě se pokusíme problém společně vyřešit.</t>
  </si>
  <si>
    <t>V některých případech musíme provést dodatečné úpravy nad rámec aktuální obratové předvahy, popř. provést tzv. reklasifikace, tedy převést určité částky z aktuálního účtu na nějaký jiný.</t>
  </si>
  <si>
    <t>I na tyto případy je pamatováno.</t>
  </si>
  <si>
    <t>b) takto připravenou tabulku nakopírujte od druhého řádku sloupců C až I (tzn. záhlaví ponechte původní)</t>
  </si>
  <si>
    <t xml:space="preserve"> - ruční zadání čísel řádků je potřeba zadat pro každé účetní období zvlášť pro případ, že by se povaha účtu v čase měnila</t>
  </si>
  <si>
    <t>řešení:</t>
  </si>
  <si>
    <t xml:space="preserve"> - tyto účty nejsou nijak označeny, soubor totiž nepozná, že obsah účtu je jiný, než předpokládají předpisy</t>
  </si>
  <si>
    <t xml:space="preserve"> - ruční zadání má přednost před automatickým vyplněním a účet tedy bude v rámci výkazů zahrnut do ručně vyplněného řádku</t>
  </si>
  <si>
    <t xml:space="preserve"> - nicméně pokud takové účty máte, stačí v listu "DATA" do sloupce R ručně napsat čísla řádků výkazů, která jsou pro daný účet relevantní</t>
  </si>
  <si>
    <t>Pokud jste správně provedli předchozí kroky, měli byste mít nyní k dispozici na listech "AKTIVA", "PASIVA" a "VÝKAZ ZZ" první verzi výkazů.</t>
  </si>
  <si>
    <t>Zbývá tedy provést už jen závěrečnou kontrolu a případně doladit zaokrouhlení.</t>
  </si>
  <si>
    <t>Nejprve si ověřte pohledem do listu INDEX - sekce Kontroly, zda jsou základní kontrolní vazby (A=P, HV ve výsledovce = HV v rozvaze) správně či nikoliv.</t>
  </si>
  <si>
    <t>Pokud jsou rozdílové řádky nulové a zelené, vše je v pořádku a Vy máte hotovo. Pokud ne, je potřeba zaokrouhlení ručně upravit, a to následujícím způsobem:</t>
  </si>
  <si>
    <t>a) v každém z listů AKTIVA, PASIVA a VÝKAZ ZZ jsou v pravém horním rohu umístěny buňky, indikující o kolik zaokrouhlení nesedí ("běž" znamená běžné, "min" minulé účetní období")</t>
  </si>
  <si>
    <t xml:space="preserve">Čím vyšší jednotku zaokrouhlení jste zvolili, tím větší je pravděpodobnost, že se výkazy vlivem zaokrouhlení někde tzv. rozjedou. To znamená, že např. nemusí sedět aktiva na pasiva. </t>
  </si>
  <si>
    <t>Jak z toho ven?</t>
  </si>
  <si>
    <t>b) jedná se řádově o jednotky; pokud je rozdíl např. 2, je potřeba o tuto částku ručně upravit některý z řádků příslušného výkazu</t>
  </si>
  <si>
    <t>d) částku není nutné zadávat najednou, je možné ji rozdělit např. na 1 a 1, které zadáte do dvou řádků</t>
  </si>
  <si>
    <t>e) správné ošetření zaokrouhlení pak indikují zelené prázdné buňky</t>
  </si>
  <si>
    <t>šedé buňky pak udávají, jaké zaokrouhlení bylo použito</t>
  </si>
  <si>
    <t>c) částku tedy zadejte do modrých buněk do sloupců vpravo od výkazů - do toho řádku, do kterého chcete zaokrouhlení "schovat"</t>
  </si>
  <si>
    <t>A. Provozní hospodářský výsledek</t>
  </si>
  <si>
    <t>počet účtů bez klasifikace</t>
  </si>
  <si>
    <t>počet účtů bez přiřazení řádku výkazu</t>
  </si>
  <si>
    <t>Kontrola přiřazení účtů:</t>
  </si>
  <si>
    <t>Kontrolní součty:</t>
  </si>
  <si>
    <t>b) je potřeba vyplnit datum, ke kterému se výkazy sestavují, a to za běžné i minulé období. Do listu "DATA" je možné doplnit údaje i za více období a vyhotovovat např. výkazy čtvrtletní, měsíční atd.</t>
  </si>
  <si>
    <t>POZOR: všechny účty v rámci obratové předvahy musí mít stejný počet pozic, s výjimkou účtů třídy 0, které mohou mít počet pozic snížený o jedničku (mohou být bez nuly na začátku)!</t>
  </si>
  <si>
    <t>POZOR: v případě, že změníte jednotku vykazování poté, co již máte upraveno zaokrouhlování, bude pravděpodobně nutné zaokrouhlování v jednotlivývh výkazech znovu upravit</t>
  </si>
  <si>
    <t>Poznámka 2: konečné zůstatky MD musí být zadány jako kladné, zůstatky na straně D pak jako záporné. Suma hodnot zadaných ve sloupci "zůstatek" by měla být 0.</t>
  </si>
  <si>
    <t xml:space="preserve">a) z vašeho účetního softwaru si vyexportujte soubor s obratovou předvahou za běžné a za minulé období  a obě předvahy (popř. i libovolný počet předvah k různým závěrkovým datům) </t>
  </si>
  <si>
    <t xml:space="preserve">si upravte tak, aby je bylo možno nakopírovat pod sebe do listu "DATA" v následujícím tvaru: </t>
  </si>
  <si>
    <t>7. sloupec (povinný) = konečný zůstatek</t>
  </si>
  <si>
    <t xml:space="preserve">5.-6. sloupce (nepovinné) = obraty MD a D, </t>
  </si>
  <si>
    <t xml:space="preserve">4. sloupec (nepovinný) = poč.zůst., </t>
  </si>
  <si>
    <t xml:space="preserve">3. sloupec "název účtu" (nepovinný); </t>
  </si>
  <si>
    <t xml:space="preserve">2. sloupec "ucet" (povinný) = číslo účtu; </t>
  </si>
  <si>
    <t>1. sloupec "datum" (povinný) =zde udejte ke každému zůstatku účtu, k jakému závěrkovému dni se vztahuje (tj. obratová předvaha k 31.12.2013 bude mít u každého účtu uveden datum 31.12.2013 a pod ní nakopírovaná obratová předvaha k 31.12.2012 bude mít u každého účtu datum 31.12.2012;</t>
  </si>
  <si>
    <t xml:space="preserve"> - vyfiltrujte si v listu "DATA" ve sloupci O řádky, ve kterých se vyskytuje slovo "doplnit" a do sloupce R pak ručně vypište správná čísla řádků výkazů </t>
  </si>
  <si>
    <t xml:space="preserve">b) účet sice má legislativou jednoznačně přiřazený řádek výkazů, ale věcná podstata účtu tomu neodpovídá </t>
  </si>
  <si>
    <t>(např. na účtu 315 jsou zaúčtovány případy, které svou povahou spadají do řádku "Jiné pohledávky", namísto automaticky přiřazeného řádku "Pohledávky z obchodních vztahů")</t>
  </si>
  <si>
    <t xml:space="preserve">c) účet není obsažen ve směrné účtové osnově - např. účetní jednotka používá účet 334, 348, interní účty 999 atd. </t>
  </si>
  <si>
    <t>Kontrola úplnosti přiřazení účtů:</t>
  </si>
  <si>
    <t xml:space="preserve"> - v listu "INDEX" v části Kontrola přiřazení účtů ověřte, zda je počet nezařazených záznamů = "žádný - OK"</t>
  </si>
  <si>
    <t xml:space="preserve"> - pokud ne, najdete zde počet nepřiřazených účtů a jejich barevné označení, pod kterým účty najdete v listu "DATA"</t>
  </si>
  <si>
    <t>ve sloupci R - viz obrázek</t>
  </si>
  <si>
    <t>Zaokrouhlení:</t>
  </si>
  <si>
    <t xml:space="preserve"> - modře označené jsou řádky s účty, jejichž přiřazení není jednoznačené a je nutné je přiřadit do řádků výkazů ručně - pro opravu tohoto stavu prosím postupujte podle bodu 4 tohoto návodu.</t>
  </si>
  <si>
    <t xml:space="preserve">Poznámka 1: pokud nezadáte data do nepovinných sloupců, musí zůstat prázdné. </t>
  </si>
  <si>
    <t xml:space="preserve"> - vyfiltrujte si v listu "DATA" ve sloupci O řádky, ve kterých se vyskytuje spojení "účet n/a" a ve sloupci D nahraďte toto nestandardní číslo účtu jiným číslem účtu, které je součástí směrné </t>
  </si>
  <si>
    <t xml:space="preserve">účtové osnovy a jeho povaha nejlépe odpovídá obsahu zůstatku daného účtu </t>
  </si>
  <si>
    <t>Tip 1: pokud budete chtít později zjistit, jaké účty mají ručně (tedy nikoliv automaticky) přiřazený řádek výkazů, stačí si sloupec R vyfiltrovat podle modré barvy (v Excel 2010 a výše).</t>
  </si>
  <si>
    <t xml:space="preserve">Tip 2: pokud budete potřebovat získat ucelený přehled přiřazení účtů do jednotlivých řádků výkazů, můžete využít list "pivot". Klikněte pravým tlačítkem na tabulku a vyberte "Obnovit", </t>
  </si>
  <si>
    <t xml:space="preserve">aby se do tabulky načetla aktuální data. </t>
  </si>
  <si>
    <t xml:space="preserve"> - červeně označené jsou řádky s účty, pro které systém nenalezl ekvivalent ve směrné účtové osnově - u těchto účtů nahraďte toto nestandardní číslo účtu jiným číslem účtu, které je součástí </t>
  </si>
  <si>
    <t xml:space="preserve">   směrné účtové osnovy a jeho povaha nejlépe odpovídá obsahu zůstatku daného účtu.</t>
  </si>
  <si>
    <t>© www.cbaudit.cz</t>
  </si>
  <si>
    <t>e) vyberte jazyk výkazu; výkazy mohou být sestaveny v češtině, němčině a angličtině. Verze přístupná volně ke stažení na našich internetových stránkách možnost volby jazyka neumožňuje. Pokud potřebujete sestavit výkazy v němčině nebo angličtině, kontaktujte nás.</t>
  </si>
  <si>
    <t>Pohledávky za společníky</t>
  </si>
  <si>
    <t>Receivables from shareholders</t>
  </si>
  <si>
    <t>Forderungen gegen Gesellschafter</t>
  </si>
  <si>
    <t>Ážio</t>
  </si>
  <si>
    <t>Rozdíly z přeměn obchodních korporací</t>
  </si>
  <si>
    <t>Rozdíly z ocenění při přeměnách obchodních korporací</t>
  </si>
  <si>
    <t>Závazky ke společníkům</t>
  </si>
  <si>
    <t>Liabilities to shareholders</t>
  </si>
  <si>
    <t>Verbindlichkeiten gegenüber Gesellschaftern</t>
  </si>
  <si>
    <t>Advances on profit-sharing payments (-)</t>
  </si>
  <si>
    <t>Vorschüsse auf Gewinnbeteiligung (-)</t>
  </si>
  <si>
    <t>Zálohy na podíly ze zisku</t>
  </si>
  <si>
    <t>sum</t>
  </si>
  <si>
    <t>id_4</t>
  </si>
  <si>
    <t>proces</t>
  </si>
  <si>
    <t>Dlouhodobý majetek</t>
  </si>
  <si>
    <t>Financování</t>
  </si>
  <si>
    <t>Zásoby</t>
  </si>
  <si>
    <t>Prodej</t>
  </si>
  <si>
    <t>Nákup</t>
  </si>
  <si>
    <t>Mzdy</t>
  </si>
  <si>
    <t>Daně</t>
  </si>
  <si>
    <t>sloupec</t>
  </si>
  <si>
    <t>nezařazené účty</t>
  </si>
  <si>
    <t>Sídlo, bydliště, místo:</t>
  </si>
  <si>
    <t>plná verze umí češtinu, angličtinu a němčinu</t>
  </si>
  <si>
    <t>rozdíl hv ve výsledovce vs. v pasivech</t>
  </si>
  <si>
    <t>rozdíl aktiva mínus pasiva</t>
  </si>
  <si>
    <t>Počet pozic v čísle účtu:</t>
  </si>
  <si>
    <t>bez jejich vyplnění nebude možné výkazy sestavit!</t>
  </si>
  <si>
    <t>Kontrola zaokrouhlení:</t>
  </si>
  <si>
    <t>výsledovka</t>
  </si>
  <si>
    <t>např. pro šestimístné kódy účtů (112100) zadejte 6</t>
  </si>
  <si>
    <t>vyber ze seznamu jednotku výkazu</t>
  </si>
  <si>
    <t>Ostatní ocenitelná práva</t>
  </si>
  <si>
    <t>Ostatní dlouhodobý nehmotný majetek</t>
  </si>
  <si>
    <t>Poskytnuté zálohy na dlouhodobý nehmotný majetek a nedokončený dlouhodobý nehmotný majetek</t>
  </si>
  <si>
    <t>Pozemky a stavby</t>
  </si>
  <si>
    <t>Land and buildings</t>
  </si>
  <si>
    <t>Grundstücke und Bauten</t>
  </si>
  <si>
    <t>Hmotné movité věci a jejich soubory</t>
  </si>
  <si>
    <t>Ostatní dlouhodobý hmotný majetek</t>
  </si>
  <si>
    <t>Poskytnuté zálohy na dlouhodobý hmotný majetek a nedokončený dlouhodobý hmotný majetek</t>
  </si>
  <si>
    <t>Podíly - ovládaná nebo ovládající osoba</t>
  </si>
  <si>
    <t>Podíly - podstatný vliv</t>
  </si>
  <si>
    <t>Zápůjčky a úvěry - ovládaná nebo ovládající osoba</t>
  </si>
  <si>
    <t>Loans - group undertakings</t>
  </si>
  <si>
    <t>Loans - associated companies</t>
  </si>
  <si>
    <t>Ausleihungen und Darlehen an verbundene Unternehmen</t>
  </si>
  <si>
    <t>Ausleihungen und Darlehen an Unternehmen, mit denen ein Beteiligungsverhältnis besteht</t>
  </si>
  <si>
    <t>Zápůjčky a úvěry - ostatní</t>
  </si>
  <si>
    <t>Loans - others</t>
  </si>
  <si>
    <t>Ostatní dlouhodobý finanční majetek</t>
  </si>
  <si>
    <t>Výrobky a zboží</t>
  </si>
  <si>
    <t>Finished products and goods for resale</t>
  </si>
  <si>
    <t>Fertige Erzeugnisse und Waren</t>
  </si>
  <si>
    <t>Finished products</t>
  </si>
  <si>
    <t>id_5</t>
  </si>
  <si>
    <t>Pohledávky - ostatní</t>
  </si>
  <si>
    <t>Ostatní krátkodobý finanční majetek</t>
  </si>
  <si>
    <t>Other short-term financial assets</t>
  </si>
  <si>
    <t>Peněžní prostředky v pokladně</t>
  </si>
  <si>
    <t>Peněžní prostředky na účtech</t>
  </si>
  <si>
    <t>Dlouhodobé pohledávky</t>
  </si>
  <si>
    <t>Krátkodobé pohledávky</t>
  </si>
  <si>
    <t>Vlastní podíly (-)</t>
  </si>
  <si>
    <t>Own interests (-)</t>
  </si>
  <si>
    <t>Eigene Geschäftsanteile</t>
  </si>
  <si>
    <t>Kapitálové fondy</t>
  </si>
  <si>
    <t>Capital contributions</t>
  </si>
  <si>
    <t>Kapitalrücklagen</t>
  </si>
  <si>
    <t>Oceňovací rozdíly z přecenění majetku a závazků (+/-)</t>
  </si>
  <si>
    <t>Oceňovací rozdíly z přecenění při přeměnách obchodních korporací (+/-)</t>
  </si>
  <si>
    <t>Ostatní rezervní fondy</t>
  </si>
  <si>
    <t>Other reserve funds</t>
  </si>
  <si>
    <t>Vyměnitelné dluhopisy</t>
  </si>
  <si>
    <t>Ostatní dluhopisy</t>
  </si>
  <si>
    <t>Závazky k úvěrovým institucím</t>
  </si>
  <si>
    <t>Závazky ostatní</t>
  </si>
  <si>
    <t>Krátkodobé směnky k úhradě</t>
  </si>
  <si>
    <t>Short-term bills of exchange payable</t>
  </si>
  <si>
    <t>Kurzfristige Wechselverbindlichkeiten</t>
  </si>
  <si>
    <t>Zápůjčky a úvěry - podstatný vliv</t>
  </si>
  <si>
    <t>Rozhodnuto o zálohové výplatě podílu na zisku</t>
  </si>
  <si>
    <t>Cizí zdroje      (ř. 102 + 107)</t>
  </si>
  <si>
    <t>Tržby za prodej výrobků a služeb</t>
  </si>
  <si>
    <t>Revenue from products and services</t>
  </si>
  <si>
    <t>Výkonová spotřeba</t>
  </si>
  <si>
    <t>Náklady na sociální zabezpečení, zdravotní pojištění a ostatní náklady</t>
  </si>
  <si>
    <t>Ostatní náklady</t>
  </si>
  <si>
    <t>Social security, health insurance and other expenses</t>
  </si>
  <si>
    <t>Other expenses</t>
  </si>
  <si>
    <t>Úpravy hodnot v provozní oblasti</t>
  </si>
  <si>
    <t>Úpravy hodnot dlouhodobého nehmotného a hmotného majetku - trvalé</t>
  </si>
  <si>
    <t>Úpravy hodnot dlouhodobého nehmotného a hmotného majetku - dočasné</t>
  </si>
  <si>
    <t>Úpravy hodnot zásob</t>
  </si>
  <si>
    <t>Úpravy hodnot pohledávek</t>
  </si>
  <si>
    <t>Jiné provozní výnosy</t>
  </si>
  <si>
    <t xml:space="preserve">Tržby z prodaného dlouhodobého majetku </t>
  </si>
  <si>
    <t>Tržby z prodaného materiálu</t>
  </si>
  <si>
    <t>Jiné provozní náklady</t>
  </si>
  <si>
    <t>Zůstatková cena prodaného materiálu</t>
  </si>
  <si>
    <t xml:space="preserve">Net book value of material sold </t>
  </si>
  <si>
    <t>Rezervy v provozní oblasti a komplexní náklady příštích období</t>
  </si>
  <si>
    <t>Provisions relating to operating activity and complex prepaid expenses</t>
  </si>
  <si>
    <t>Výnosy z dlouhodobého finančního majetku - podíly</t>
  </si>
  <si>
    <t>Výnosy z podílů - ovládaná nebo ovládající osoba</t>
  </si>
  <si>
    <t>Ostatní výnosy z podílů</t>
  </si>
  <si>
    <t>Náklady vynaložené na prodané podíly</t>
  </si>
  <si>
    <t>Výnosy z ostatního dlouhodobého finančního majetku - ovládaná nebo ovládající osoba</t>
  </si>
  <si>
    <t>Ostatní výnosy z ostatního dlouhodobého finančního majetku</t>
  </si>
  <si>
    <t>Náklady související s ostatním dlouhodobým finančním majetkem</t>
  </si>
  <si>
    <t>Výnosové úroky a podobné výnosy</t>
  </si>
  <si>
    <t>Interest and similar revenue</t>
  </si>
  <si>
    <t>Výnosové úroky a podobné výnosy - ovládaná nebo ovládající osoba</t>
  </si>
  <si>
    <t>Ostatní výnosové úroky a podobné výnosy</t>
  </si>
  <si>
    <t>Úpravy hodnot a rezervy ve finanční oblasti</t>
  </si>
  <si>
    <t>Nákladové úroky a podobné náklady</t>
  </si>
  <si>
    <t>Interest and similar expense</t>
  </si>
  <si>
    <t>Nákladové úroky a podobné náklady - ovládaná nebo ovládající osoba</t>
  </si>
  <si>
    <t>Ostatní nákladové úroky a podobné náklady</t>
  </si>
  <si>
    <t>Daň z příjmů splatná</t>
  </si>
  <si>
    <t>Daň z příjmů odložená</t>
  </si>
  <si>
    <t>Income tax</t>
  </si>
  <si>
    <t>Income tax current</t>
  </si>
  <si>
    <t>Úpravy hodnot dlouhodobého nehmotného a hmotného majetku</t>
  </si>
  <si>
    <t>IV:</t>
  </si>
  <si>
    <t>M</t>
  </si>
  <si>
    <t>Osobní náklady</t>
  </si>
  <si>
    <t>calc</t>
  </si>
  <si>
    <t>pol</t>
  </si>
  <si>
    <t>B.I.</t>
  </si>
  <si>
    <t>B.I.2.</t>
  </si>
  <si>
    <t>B.II.</t>
  </si>
  <si>
    <t>B.II.1.</t>
  </si>
  <si>
    <t>a4</t>
  </si>
  <si>
    <t>AKT</t>
  </si>
  <si>
    <t>B.I.5.</t>
  </si>
  <si>
    <t>Zápůjčky a úvěry - ovládaná a ovládající osoba</t>
  </si>
  <si>
    <t>Oprávky k ostatním ocenitelným právům</t>
  </si>
  <si>
    <t>Oprávky k ostatnímu dlouhodobému nehmotnému majetku</t>
  </si>
  <si>
    <t>Oprávky k hmotným movitým věcem a jejich souborům</t>
  </si>
  <si>
    <t>Krátkodobé dluhy k úvěrovým institucím</t>
  </si>
  <si>
    <t>Vlastní podíly</t>
  </si>
  <si>
    <t>Dluhové cenné papíry k obchodování</t>
  </si>
  <si>
    <t>Ostatní cenné papíry</t>
  </si>
  <si>
    <t>alt 4</t>
  </si>
  <si>
    <t>B.II.4</t>
  </si>
  <si>
    <t>B.II.5</t>
  </si>
  <si>
    <t>B.III.</t>
  </si>
  <si>
    <t>B.III.7.</t>
  </si>
  <si>
    <t>C.I.</t>
  </si>
  <si>
    <t>C.I.3.</t>
  </si>
  <si>
    <t>C.II.</t>
  </si>
  <si>
    <t>C.II.1.</t>
  </si>
  <si>
    <t>C.II.1.5.</t>
  </si>
  <si>
    <t>a5</t>
  </si>
  <si>
    <t>alt 5</t>
  </si>
  <si>
    <t>Dluhy z obchodních vztahů</t>
  </si>
  <si>
    <t>Ostatní dluhy</t>
  </si>
  <si>
    <t>Dluhy z koupě obchodního závodu</t>
  </si>
  <si>
    <t>Jiné dluhy</t>
  </si>
  <si>
    <t>Dlouhodobé úvěry k úvěrovým institucím</t>
  </si>
  <si>
    <t>Dluhy z pachtu obchodního závodu</t>
  </si>
  <si>
    <t>Krátkodobé přijaté zálohy</t>
  </si>
  <si>
    <t>C.II.2.</t>
  </si>
  <si>
    <t>C.II.2.4.</t>
  </si>
  <si>
    <t>C.III.</t>
  </si>
  <si>
    <t>C.IV.</t>
  </si>
  <si>
    <t>A.I.</t>
  </si>
  <si>
    <t>PAS</t>
  </si>
  <si>
    <t>A.II.</t>
  </si>
  <si>
    <t>A.II.2.</t>
  </si>
  <si>
    <t>A.III.</t>
  </si>
  <si>
    <t>A.IV.</t>
  </si>
  <si>
    <t>---</t>
  </si>
  <si>
    <t>B.+C.</t>
  </si>
  <si>
    <t>C.I.1.</t>
  </si>
  <si>
    <t>C.I.9.</t>
  </si>
  <si>
    <t>C.II.8.</t>
  </si>
  <si>
    <t>Mimořádné provozní náklady</t>
  </si>
  <si>
    <t>Tvorba a zúčtování ostatních opravných položek v provozní činnosti</t>
  </si>
  <si>
    <t>Mimořádné finanční náklady</t>
  </si>
  <si>
    <t>Daň z příjmů - splatná</t>
  </si>
  <si>
    <t>Daň z příjmů - odložená</t>
  </si>
  <si>
    <t>Tvorba a zúčtování rezervy na daň z příjmů</t>
  </si>
  <si>
    <t>Mimořádné provozní výnosy</t>
  </si>
  <si>
    <t>Mimořádné finanční výnosy</t>
  </si>
  <si>
    <t>PROVOZ</t>
  </si>
  <si>
    <t>D.2.</t>
  </si>
  <si>
    <t>E.1.</t>
  </si>
  <si>
    <t>FIN</t>
  </si>
  <si>
    <t>HV1</t>
  </si>
  <si>
    <t>Liabilities to banks</t>
  </si>
  <si>
    <t>Liabilities other</t>
  </si>
  <si>
    <t>AKTIVA CELKEM      (ř. 02 + 03 + 37 + 74)</t>
  </si>
  <si>
    <t>TOTAL ASSETS      (l. 02 + 03 + 37 + 74)</t>
  </si>
  <si>
    <t>SUMME AKTIVA      (Z. 02 + 03 + 37 + 74)</t>
  </si>
  <si>
    <t>Dlouhodobý majetek      (ř. 04 + 14 + 27)</t>
  </si>
  <si>
    <t>Fixed assets      (l. 04 + 14 + 27)</t>
  </si>
  <si>
    <t>Anlagevermögen      (Z. 04 + 14 + 27)</t>
  </si>
  <si>
    <t>Dlouhodobý nehmotný majetek      (ř. 05 + 06 + 09 + 10 + 11)</t>
  </si>
  <si>
    <t>Intangible fixed assets      (l. 05 + 06 + 09 + 10 + 11)</t>
  </si>
  <si>
    <t>Immaterielle Vermögensgegenstände      (Z. 05 + 06 + 09 +10 + 11)</t>
  </si>
  <si>
    <t>Konzessionen und Rechte</t>
  </si>
  <si>
    <t>Other intellectual property rights</t>
  </si>
  <si>
    <t>Geschäfts- oder Firmenwert</t>
  </si>
  <si>
    <t>Advance payments and intangible fixed assets under construction</t>
  </si>
  <si>
    <t>Geleistete Anzahlungen und unfertige immaterielle Vermögensgegenstände</t>
  </si>
  <si>
    <t>Dlouhodobý hmotný majetek      (ř. 15 + 18 + 19 + 20 + 24)</t>
  </si>
  <si>
    <t>Tangible fixed assets      (l. 15 + 18 + 19 + 20 + 24)</t>
  </si>
  <si>
    <t>Sachanlagen      (Z. 15 + 18 + 19 + 20 + 24)</t>
  </si>
  <si>
    <t>Sundry tangible fixed assets</t>
  </si>
  <si>
    <t>Andere Anlagen</t>
  </si>
  <si>
    <t>Advance payments and tangible fixed assets under construction</t>
  </si>
  <si>
    <t>Geleistete Anzahlungen und Anlagen im Bau</t>
  </si>
  <si>
    <t>Dlouhodobý finanční majetek      (ř. 28 až 34)</t>
  </si>
  <si>
    <t>Long-term financial assets      (l. 28 to 34)</t>
  </si>
  <si>
    <t>Finanzanlagen      (Z. 28 bis 34)</t>
  </si>
  <si>
    <t>Ausleihungen und Darlehen - Sonstige</t>
  </si>
  <si>
    <t>Other long-term financial investments</t>
  </si>
  <si>
    <t>Sonstige Finanzanlagen</t>
  </si>
  <si>
    <t>Sundry long-term investments</t>
  </si>
  <si>
    <t>Andere Finanzanlgen</t>
  </si>
  <si>
    <t>Oběžná aktiva      (ř. 38 + 46 + 68 + 71)</t>
  </si>
  <si>
    <t>Current assets      (l. 38 + 46 + 68 + 71)</t>
  </si>
  <si>
    <t>Umlaufvermögen      (Z. 38 + 46 + 68 + 71)</t>
  </si>
  <si>
    <t>Zásoby      (ř. 39 + 40 + 41 + 44 + 45)</t>
  </si>
  <si>
    <t>Inventories      (l. 39 + 40 + 41 + 44 + 45)</t>
  </si>
  <si>
    <t>Vorräte      (Z. 39 +40 + 41 + 44 + 45)</t>
  </si>
  <si>
    <t>Fertige Erzeugnisse</t>
  </si>
  <si>
    <t>Pohledávky      (ř. 47 + 57)</t>
  </si>
  <si>
    <t>Receivables      (l. 47 + 57)</t>
  </si>
  <si>
    <t>Forderungen      (Z. 47 + 57)</t>
  </si>
  <si>
    <t>Long-term receivables</t>
  </si>
  <si>
    <t>Langfristige Forderungen</t>
  </si>
  <si>
    <t>Long-term receivables - others</t>
  </si>
  <si>
    <t>Forderungen - Sonstige</t>
  </si>
  <si>
    <t>Sundry receivables</t>
  </si>
  <si>
    <t>Andere Forderungen</t>
  </si>
  <si>
    <t>Short-term receivables</t>
  </si>
  <si>
    <t>Kurzfristige Forderungen</t>
  </si>
  <si>
    <t>Short-term receivables - others</t>
  </si>
  <si>
    <t>Krátkodobý finanční majetek      (ř. 69 až 70)</t>
  </si>
  <si>
    <t>Short-term financial assets      (l. 69 to 70)</t>
  </si>
  <si>
    <t>Kurzfristiges Finanzvermögen      (Z. 69 bis 70)</t>
  </si>
  <si>
    <t>Sonstiges kurzfristiges Finanzvermögen</t>
  </si>
  <si>
    <t>Peněžní prostředky      (ř. 72 až 73)</t>
  </si>
  <si>
    <t>Cash and bank accounts      (l. 72 to 73)</t>
  </si>
  <si>
    <t>Kassenbestand und Bankguthaben      (Z. 72 bis 73)</t>
  </si>
  <si>
    <t>Kassebestände</t>
  </si>
  <si>
    <t>Guthaben bei Kreditinstituten</t>
  </si>
  <si>
    <t>Časové rozlišení aktiv      (ř. 75 až 77)</t>
  </si>
  <si>
    <t>Deferrals      (l. 75 to 77)</t>
  </si>
  <si>
    <t>Aktive Rechnungsabgrenzungsposten      (Z. 75 bis 77)</t>
  </si>
  <si>
    <t>PASIVA CELKEM      (ř. 79 + 101 + 141)</t>
  </si>
  <si>
    <t>TOTAL EQUITY AND LIABILITIES      (l. 79 + 101 + 141)</t>
  </si>
  <si>
    <t>SUMME PASSIVA      (Z. 79 + 101 + 141)</t>
  </si>
  <si>
    <t>Vlastní kapitál      (ř. 80 + 84 + 92 + 95 + 99 + 100)</t>
  </si>
  <si>
    <t>Equity      (l. 80 + 84 + 92 + 95 + 99 + 100)</t>
  </si>
  <si>
    <t>Eigenkapital      (Z. 80 + 84 + 92 + 95 + 99 + 100)</t>
  </si>
  <si>
    <t>Základní kapitál      (ř. 81 až 83)</t>
  </si>
  <si>
    <t>Registered capital      (l. 81 to 83)</t>
  </si>
  <si>
    <t>Gezeichnetes Kapital      (Z. 81 bis 83)</t>
  </si>
  <si>
    <t>Ažio a kapitálové fondy      (ř. 85 + 86)</t>
  </si>
  <si>
    <t>Share premium and capital contributions      (l. 85 + 86)</t>
  </si>
  <si>
    <t>Aufgeld (Agio) und Kapitalrücklagen      (Z. 85 bis 86)</t>
  </si>
  <si>
    <t>Agio</t>
  </si>
  <si>
    <t>Neubewertung von Vermögen und Verbindlichkeiten (+/-)</t>
  </si>
  <si>
    <t>Neubewertung bei formwechselnder Umwandlung (+/-)</t>
  </si>
  <si>
    <t>Fondy ze zisku      (ř. 93 + 94)</t>
  </si>
  <si>
    <t>Funds from profit      (l. 93 + 94)</t>
  </si>
  <si>
    <t>Gewinnrücklagen      (Z. 93 bis 94)</t>
  </si>
  <si>
    <t>Sonstige Gewinnrücklagen</t>
  </si>
  <si>
    <t>Výsledek hospodaření minulých let +/-      (ř. 96 až 98)</t>
  </si>
  <si>
    <t>Retained earnings +/-      (l. 96 to 98)</t>
  </si>
  <si>
    <t>Gewinn-/Verlustvortrag +/-      (Z. 96 bis 98)</t>
  </si>
  <si>
    <t>Nerozdělený zisk minulých let +</t>
  </si>
  <si>
    <t>Neuhrazená ztráta minulých let -</t>
  </si>
  <si>
    <t>Výsledek hospodaření běžného účetního období +/-</t>
  </si>
  <si>
    <t>Profit (loss) for the current period ( + /-)</t>
  </si>
  <si>
    <t>Jahresüberschuss / -fehlbetrag +/-</t>
  </si>
  <si>
    <t>Liabilities      (l. 102 + 107)</t>
  </si>
  <si>
    <t>Fremdkapital      (Z. 102 + 107)</t>
  </si>
  <si>
    <t>Rezervy      (ř. 103 až 106)</t>
  </si>
  <si>
    <t>Provisions      (l. 103 to 106)</t>
  </si>
  <si>
    <t>Rückstellungen      (Z. 103 to 106)</t>
  </si>
  <si>
    <t>Rückstellungen für Renten und ähnliche Verbindlichkeiten</t>
  </si>
  <si>
    <t>Gemäß Sondervorschriften gebildete Rückstellungen</t>
  </si>
  <si>
    <t>Závazky      (ř. 108 + 123)</t>
  </si>
  <si>
    <t>Liabilities      (l. 108 + 123)</t>
  </si>
  <si>
    <t>Verbindlichkeiten      (Z. 108 + 123)</t>
  </si>
  <si>
    <t>Dlouhodobé závazky      (ř. 109 + 112 až 119)</t>
  </si>
  <si>
    <t>Long-term liabilities      (l. 109 + 112 to 119)</t>
  </si>
  <si>
    <t>Langfristige Verbindlichkeiten      (Z. 109 + 112 bis 119)</t>
  </si>
  <si>
    <t>Convertible bonds</t>
  </si>
  <si>
    <t>Schuldverschreibungen mit Umtauschrecht</t>
  </si>
  <si>
    <t>Other bonds</t>
  </si>
  <si>
    <t>Sonstige Schuldverschreibungen</t>
  </si>
  <si>
    <t>Langfristige Verbindlichkeiten gegenüber Kreditinstituten</t>
  </si>
  <si>
    <t>Other Liabilities</t>
  </si>
  <si>
    <t>Andere Verbindlichkeiten</t>
  </si>
  <si>
    <t>Krátkodobé závazky      (ř. 124 + 127 až 133)</t>
  </si>
  <si>
    <t>Short-term liabilities      (l. 124 + 127 to 133)</t>
  </si>
  <si>
    <t>Kurzfristige Verbindlichkeiten      (Z. 124 + 127 bis 133)</t>
  </si>
  <si>
    <t>Liabilities to credit institutions</t>
  </si>
  <si>
    <t>Kurzfristige Verbindlichkeiten gegenüber Kreditinstituten</t>
  </si>
  <si>
    <t>Kurzfristige Finanzierungen</t>
  </si>
  <si>
    <t>Časové rozlišení pasiv      (ř. 142 + 143)</t>
  </si>
  <si>
    <t>Accruals      (l. 142 + 143)</t>
  </si>
  <si>
    <t>Passive Rechnungsabgrenzungsposten      (Z. 142 + 143)</t>
  </si>
  <si>
    <t>Revenue from sale of goods</t>
  </si>
  <si>
    <t>Handelswarenerlöse</t>
  </si>
  <si>
    <t>Cost of sales</t>
  </si>
  <si>
    <t>Handelswareneinsatz und Verbrauch</t>
  </si>
  <si>
    <t>Změna stavu zásob vlastní činnosti      +/-</t>
  </si>
  <si>
    <t>Change in inventory of own production      +/-</t>
  </si>
  <si>
    <t>Bestandsveränderung der selbsterstellten Vorräte      +/-</t>
  </si>
  <si>
    <t>Personnel expenses</t>
  </si>
  <si>
    <t>Personalaufwand</t>
  </si>
  <si>
    <t>Aufwendungen für die Sozial- und Krankenversicherung und sonstige Aufwendungen</t>
  </si>
  <si>
    <t>Sonstige Personalaufwendungen</t>
  </si>
  <si>
    <t>Adjustments and depreciations in the operating result</t>
  </si>
  <si>
    <t>Wertberichtigungen und Abschreibungen im Betriebsergebnis</t>
  </si>
  <si>
    <t>Adjustments and depreciations to intangible and tangible fixed assets</t>
  </si>
  <si>
    <t>Wertberichtigungen und Abschreibungen auf immaterielle Vermögensgegenstände und Sachanlagen</t>
  </si>
  <si>
    <t>Depreciations to intangible and tangible fixed assets (permanent)</t>
  </si>
  <si>
    <t>Abschreibungen auf immaterielle Vermögensgegenstände und Sachanlagen (permanent)</t>
  </si>
  <si>
    <t>Adjustments to intangible and tangible fixed assets (temporary)</t>
  </si>
  <si>
    <t>Wertberichtigungen auf immaterielle Vermögensgegenstände und Sachanlagen (temporär)</t>
  </si>
  <si>
    <t>Adjustments to inventories</t>
  </si>
  <si>
    <t>Wertberichtigungen von Vorräten</t>
  </si>
  <si>
    <t>Adjustments to receivables</t>
  </si>
  <si>
    <t>Wertberichtigungen von Forderungen</t>
  </si>
  <si>
    <t>Sundry operating revenues</t>
  </si>
  <si>
    <t>Andere betriebliche Erträge</t>
  </si>
  <si>
    <t>Net book value of fixed assets sold</t>
  </si>
  <si>
    <t>Restbuchwert des verkauften Material</t>
  </si>
  <si>
    <t>Veränderung der betrieblichen Rückstellungen und der komplexen Aufwendungen der künftigen Perioden</t>
  </si>
  <si>
    <t>Sundry operating expenses</t>
  </si>
  <si>
    <t>Andere betriebliche Aufwendungen</t>
  </si>
  <si>
    <t>Provozní výsledek hospodaření      +/-</t>
  </si>
  <si>
    <t>Operating profit loss      +/-</t>
  </si>
  <si>
    <t>Betriebsergebnis      +/-</t>
  </si>
  <si>
    <t xml:space="preserve">Revenue from long-term investments </t>
  </si>
  <si>
    <t>Erträge aus den Finanzanlagen - Anteile und Beteiligungen</t>
  </si>
  <si>
    <t>Revenue from long-term investments in group undertakings</t>
  </si>
  <si>
    <t>Erträge aus Anteilen und Beteiligungen an verbundenen Unternehmen</t>
  </si>
  <si>
    <t>Other revenue from long-term investments</t>
  </si>
  <si>
    <t>Sonstige Erträge aus Anteilen und Beteiligungen</t>
  </si>
  <si>
    <t>Einstandskosten der verkauften Anteilen und Beteiligungen</t>
  </si>
  <si>
    <t>Revenue from other long-term financial assets</t>
  </si>
  <si>
    <t>Erträge aus den sonstigen Finanzanlagen</t>
  </si>
  <si>
    <t>Revenue from other long-term financial assets in group undertakings</t>
  </si>
  <si>
    <t>Erträge aus den sonstigen Finanzanlagen - verbundene Unternehmen</t>
  </si>
  <si>
    <t>Other revenue from other long-term financial assets</t>
  </si>
  <si>
    <t>Sonstige Erträge aus den sonstigen Finanzanlagen</t>
  </si>
  <si>
    <t>Other long-term financial assets sold</t>
  </si>
  <si>
    <t>Kosten der sonstigen Finanzanlagen</t>
  </si>
  <si>
    <t>Zins- und zinsähnliche Erträge</t>
  </si>
  <si>
    <t>Interest and similar revenue in group undertakings</t>
  </si>
  <si>
    <t>Zins- und zinsähnliche Erträge - verbundene Unternehmen</t>
  </si>
  <si>
    <t>Other interest and similar revenue</t>
  </si>
  <si>
    <t>Sonstige Zins- und zinsähnliche Erträge</t>
  </si>
  <si>
    <t>Adjustments and provisions in the financial result</t>
  </si>
  <si>
    <t>Wertberichtigungen und Rückstellungen im Finanzergebnis</t>
  </si>
  <si>
    <t>Zins- und zinsähnliche Aufwendungen</t>
  </si>
  <si>
    <t>Interest and similar expense in group undertakings</t>
  </si>
  <si>
    <t>Zins- und zinsähnliche Aufwendungen - verbundene Unternehmen</t>
  </si>
  <si>
    <t>Other interest and similar expense</t>
  </si>
  <si>
    <t>Sonstige Zins- und zinsähnliche Aufwendungen</t>
  </si>
  <si>
    <t>Finanční výsledek hospodaření      +/-</t>
  </si>
  <si>
    <t>Profit (loss) from financial operations      +/-</t>
  </si>
  <si>
    <t>Finanzergebnis      +/-</t>
  </si>
  <si>
    <t>Výsledek hospodaření před zdaněním      +/-</t>
  </si>
  <si>
    <t>Profit / Loss before tax      +/-</t>
  </si>
  <si>
    <t>Ergebnis vor Steuern      +/-</t>
  </si>
  <si>
    <t>Einkommensteuern</t>
  </si>
  <si>
    <t xml:space="preserve"> Fällige Steuern</t>
  </si>
  <si>
    <t>Income tax defferred</t>
  </si>
  <si>
    <t xml:space="preserve"> Latente Steuern</t>
  </si>
  <si>
    <t>Výsledek hospodaření po zdanění      +/-</t>
  </si>
  <si>
    <t>Profit (loss) on after tax      +/-</t>
  </si>
  <si>
    <t>Ergebnis nach Steuern      +/-</t>
  </si>
  <si>
    <t>Převod podílu na výsledku hospodaření společníkům      +/-</t>
  </si>
  <si>
    <t>Transfer of profit or loss to partners      +/-</t>
  </si>
  <si>
    <t>Ergebnisübernahme durch Gesellschafter      +/-</t>
  </si>
  <si>
    <t>Výsledek hospodaření za účetní období      +/-</t>
  </si>
  <si>
    <t>Profit / Loss for the accounting period      +/-</t>
  </si>
  <si>
    <t>Jahresüberschuss/ Jahresfehlbetrag      +/-</t>
  </si>
  <si>
    <t>Čistý obrat za účetní období (I. + II. + III. + IV. + V. + VI. + VII.)</t>
  </si>
  <si>
    <t>Net turnover (I. + II. + III. + IV. + V. + VI. + VII.)</t>
  </si>
  <si>
    <t>Nettoumsatz der Periode (I. + II. + III. + IV. + V. + VI. + VII.)</t>
  </si>
  <si>
    <t>česky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</si>
</sst>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0"/>
    <numFmt numFmtId="166" formatCode="&quot;IČ:         &quot;\ General"/>
  </numFmts>
  <fonts count="7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8"/>
      <color theme="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0000FF"/>
      <name val="Calibri"/>
      <family val="2"/>
      <charset val="238"/>
      <scheme val="minor"/>
    </font>
    <font>
      <sz val="8"/>
      <color rgb="FF0000FF"/>
      <name val="Calibri"/>
      <family val="2"/>
      <charset val="238"/>
      <scheme val="minor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10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0" tint="-4.9989318521683403E-2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b/>
      <sz val="10"/>
      <color theme="0" tint="-0.14999847407452621"/>
      <name val="Calibri"/>
      <family val="2"/>
      <charset val="238"/>
      <scheme val="minor"/>
    </font>
    <font>
      <b/>
      <sz val="10"/>
      <color theme="0" tint="-0.34998626667073579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b/>
      <sz val="8"/>
      <color rgb="FF0000FF"/>
      <name val="Calibri"/>
      <family val="2"/>
      <charset val="238"/>
    </font>
    <font>
      <sz val="8"/>
      <color rgb="FF0000FF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5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color theme="0" tint="-0.249977111117893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sz val="7"/>
      <color theme="0" tint="-0.499984740745262"/>
      <name val="Calibri"/>
      <family val="2"/>
      <charset val="238"/>
      <scheme val="minor"/>
    </font>
    <font>
      <b/>
      <sz val="10"/>
      <color theme="0" tint="-0.499984740745262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  <font>
      <sz val="8"/>
      <color rgb="FF0000FF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i/>
      <sz val="10"/>
      <color theme="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0" tint="-0.499984740745262"/>
      <name val="Calibri"/>
      <family val="2"/>
      <charset val="238"/>
      <scheme val="minor"/>
    </font>
    <font>
      <i/>
      <sz val="16"/>
      <color theme="0" tint="-0.499984740745262"/>
      <name val="Calibri"/>
      <family val="2"/>
      <charset val="238"/>
      <scheme val="minor"/>
    </font>
    <font>
      <i/>
      <sz val="14"/>
      <color theme="0" tint="-0.499984740745262"/>
      <name val="Calibri"/>
      <family val="2"/>
      <charset val="238"/>
      <scheme val="minor"/>
    </font>
    <font>
      <sz val="8"/>
      <color rgb="FF0000FF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rgb="FF0000FF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i/>
      <sz val="10"/>
      <color theme="0" tint="-0.249977111117893"/>
      <name val="Calibri"/>
      <family val="2"/>
      <charset val="238"/>
      <scheme val="minor"/>
    </font>
    <font>
      <sz val="18"/>
      <color theme="0" tint="-0.249977111117893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20"/>
      <color theme="0" tint="-0.249977111117893"/>
      <name val="Calibri"/>
      <family val="2"/>
      <charset val="238"/>
      <scheme val="minor"/>
    </font>
    <font>
      <i/>
      <sz val="20"/>
      <color theme="0" tint="-0.249977111117893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 tint="-4.9989318521683403E-2"/>
      </left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1499679555650502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9" fillId="0" borderId="0" applyNumberFormat="0" applyFill="0" applyBorder="0" applyAlignment="0" applyProtection="0"/>
    <xf numFmtId="0" fontId="2" fillId="0" borderId="0"/>
  </cellStyleXfs>
  <cellXfs count="584">
    <xf numFmtId="0" fontId="0" fillId="0" borderId="0" xfId="0"/>
    <xf numFmtId="0" fontId="5" fillId="0" borderId="0" xfId="1"/>
    <xf numFmtId="0" fontId="8" fillId="0" borderId="0" xfId="1" applyFont="1"/>
    <xf numFmtId="164" fontId="15" fillId="7" borderId="0" xfId="1" applyNumberFormat="1" applyFont="1" applyFill="1" applyAlignment="1">
      <alignment horizontal="center"/>
    </xf>
    <xf numFmtId="164" fontId="7" fillId="4" borderId="0" xfId="1" applyNumberFormat="1" applyFont="1" applyFill="1" applyAlignment="1">
      <alignment horizontal="left"/>
    </xf>
    <xf numFmtId="164" fontId="15" fillId="7" borderId="0" xfId="1" applyNumberFormat="1" applyFont="1" applyFill="1" applyAlignment="1">
      <alignment horizontal="left"/>
    </xf>
    <xf numFmtId="4" fontId="5" fillId="7" borderId="0" xfId="1" applyNumberFormat="1" applyFill="1"/>
    <xf numFmtId="4" fontId="7" fillId="4" borderId="0" xfId="1" applyNumberFormat="1" applyFont="1" applyFill="1"/>
    <xf numFmtId="164" fontId="14" fillId="7" borderId="0" xfId="1" applyNumberFormat="1" applyFont="1" applyFill="1" applyAlignment="1">
      <alignment horizontal="center"/>
    </xf>
    <xf numFmtId="0" fontId="18" fillId="0" borderId="0" xfId="2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Alignment="1">
      <alignment vertical="center"/>
    </xf>
    <xf numFmtId="0" fontId="18" fillId="0" borderId="0" xfId="2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164" fontId="7" fillId="4" borderId="0" xfId="1" applyNumberFormat="1" applyFont="1" applyFill="1" applyAlignment="1"/>
    <xf numFmtId="164" fontId="15" fillId="7" borderId="0" xfId="1" applyNumberFormat="1" applyFont="1" applyFill="1" applyAlignment="1"/>
    <xf numFmtId="0" fontId="26" fillId="0" borderId="0" xfId="2" applyFont="1" applyFill="1" applyAlignment="1">
      <alignment horizontal="left"/>
    </xf>
    <xf numFmtId="0" fontId="26" fillId="0" borderId="0" xfId="2" applyFont="1" applyFill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4" fillId="4" borderId="0" xfId="1" applyNumberFormat="1" applyFont="1" applyFill="1" applyAlignment="1">
      <alignment horizontal="left"/>
    </xf>
    <xf numFmtId="0" fontId="15" fillId="7" borderId="0" xfId="1" applyNumberFormat="1" applyFont="1" applyFill="1" applyAlignment="1">
      <alignment horizontal="center"/>
    </xf>
    <xf numFmtId="0" fontId="1" fillId="0" borderId="0" xfId="2" applyFont="1" applyFill="1" applyAlignment="1">
      <alignment horizontal="left" vertical="top"/>
    </xf>
    <xf numFmtId="0" fontId="1" fillId="0" borderId="0" xfId="2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0" fillId="7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4" fontId="24" fillId="4" borderId="0" xfId="1" applyNumberFormat="1" applyFont="1" applyFill="1" applyAlignment="1"/>
    <xf numFmtId="0" fontId="26" fillId="0" borderId="0" xfId="2" applyFont="1" applyFill="1" applyBorder="1" applyAlignment="1">
      <alignment horizontal="left" vertical="center"/>
    </xf>
    <xf numFmtId="0" fontId="42" fillId="0" borderId="0" xfId="2" applyFont="1" applyFill="1" applyBorder="1" applyAlignment="1">
      <alignment horizontal="left" vertical="center"/>
    </xf>
    <xf numFmtId="0" fontId="36" fillId="3" borderId="0" xfId="1" applyFont="1" applyFill="1" applyProtection="1">
      <protection locked="0"/>
    </xf>
    <xf numFmtId="3" fontId="36" fillId="3" borderId="0" xfId="1" applyNumberFormat="1" applyFont="1" applyFill="1" applyProtection="1">
      <protection locked="0"/>
    </xf>
    <xf numFmtId="4" fontId="36" fillId="3" borderId="0" xfId="1" applyNumberFormat="1" applyFont="1" applyFill="1" applyAlignment="1" applyProtection="1">
      <alignment horizontal="center"/>
      <protection locked="0"/>
    </xf>
    <xf numFmtId="14" fontId="37" fillId="0" borderId="0" xfId="1" applyNumberFormat="1" applyFont="1" applyProtection="1">
      <protection locked="0"/>
    </xf>
    <xf numFmtId="0" fontId="37" fillId="0" borderId="0" xfId="1" applyFont="1" applyProtection="1">
      <protection locked="0"/>
    </xf>
    <xf numFmtId="3" fontId="37" fillId="0" borderId="0" xfId="1" applyNumberFormat="1" applyFont="1" applyProtection="1">
      <protection locked="0"/>
    </xf>
    <xf numFmtId="4" fontId="37" fillId="0" borderId="0" xfId="1" applyNumberFormat="1" applyFont="1" applyAlignment="1" applyProtection="1">
      <alignment horizontal="right"/>
      <protection locked="0"/>
    </xf>
    <xf numFmtId="164" fontId="36" fillId="3" borderId="0" xfId="1" applyNumberFormat="1" applyFont="1" applyFill="1" applyAlignment="1" applyProtection="1">
      <alignment horizontal="left"/>
      <protection locked="0"/>
    </xf>
    <xf numFmtId="164" fontId="37" fillId="5" borderId="0" xfId="1" applyNumberFormat="1" applyFont="1" applyFill="1" applyAlignment="1" applyProtection="1">
      <alignment horizontal="center"/>
      <protection locked="0"/>
    </xf>
    <xf numFmtId="0" fontId="37" fillId="7" borderId="0" xfId="1" applyNumberFormat="1" applyFont="1" applyFill="1" applyAlignment="1" applyProtection="1">
      <alignment horizontal="center"/>
      <protection locked="0"/>
    </xf>
    <xf numFmtId="14" fontId="37" fillId="0" borderId="0" xfId="1" applyNumberFormat="1" applyFont="1" applyFill="1" applyProtection="1">
      <protection locked="0"/>
    </xf>
    <xf numFmtId="0" fontId="37" fillId="0" borderId="0" xfId="1" applyFont="1" applyFill="1" applyProtection="1">
      <protection locked="0"/>
    </xf>
    <xf numFmtId="3" fontId="37" fillId="0" borderId="0" xfId="1" applyNumberFormat="1" applyFont="1" applyFill="1" applyProtection="1">
      <protection locked="0"/>
    </xf>
    <xf numFmtId="4" fontId="37" fillId="0" borderId="0" xfId="1" applyNumberFormat="1" applyFont="1" applyFill="1" applyAlignment="1" applyProtection="1">
      <alignment horizontal="right"/>
      <protection locked="0"/>
    </xf>
    <xf numFmtId="3" fontId="36" fillId="3" borderId="0" xfId="1" applyNumberFormat="1" applyFont="1" applyFill="1" applyAlignment="1" applyProtection="1">
      <alignment horizontal="left"/>
      <protection locked="0"/>
    </xf>
    <xf numFmtId="0" fontId="10" fillId="7" borderId="0" xfId="0" applyFont="1" applyFill="1" applyBorder="1" applyAlignment="1">
      <alignment vertical="top"/>
    </xf>
    <xf numFmtId="0" fontId="10" fillId="7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right" vertical="top"/>
    </xf>
    <xf numFmtId="0" fontId="28" fillId="2" borderId="0" xfId="0" applyFont="1" applyFill="1" applyBorder="1" applyAlignment="1">
      <alignment vertical="top"/>
    </xf>
    <xf numFmtId="0" fontId="28" fillId="2" borderId="0" xfId="0" applyFont="1" applyFill="1" applyBorder="1" applyAlignment="1">
      <alignment horizontal="left" vertical="top" wrapText="1" indent="1"/>
    </xf>
    <xf numFmtId="0" fontId="44" fillId="7" borderId="69" xfId="0" applyFont="1" applyFill="1" applyBorder="1" applyAlignment="1">
      <alignment horizontal="left" vertical="top" wrapText="1" indent="1"/>
    </xf>
    <xf numFmtId="0" fontId="10" fillId="0" borderId="69" xfId="0" applyFont="1" applyFill="1" applyBorder="1" applyAlignment="1">
      <alignment horizontal="left" vertical="top" wrapText="1" indent="1"/>
    </xf>
    <xf numFmtId="0" fontId="43" fillId="0" borderId="69" xfId="0" applyFont="1" applyFill="1" applyBorder="1" applyAlignment="1">
      <alignment horizontal="left" vertical="top" wrapText="1" indent="1"/>
    </xf>
    <xf numFmtId="0" fontId="10" fillId="0" borderId="69" xfId="0" applyFont="1" applyFill="1" applyBorder="1" applyAlignment="1">
      <alignment horizontal="left" vertical="top" indent="1"/>
    </xf>
    <xf numFmtId="0" fontId="43" fillId="0" borderId="69" xfId="0" applyFont="1" applyFill="1" applyBorder="1" applyAlignment="1">
      <alignment horizontal="left" vertical="top" indent="1"/>
    </xf>
    <xf numFmtId="0" fontId="10" fillId="0" borderId="69" xfId="0" applyFont="1" applyFill="1" applyBorder="1" applyAlignment="1">
      <alignment horizontal="left" vertical="top" indent="2"/>
    </xf>
    <xf numFmtId="0" fontId="45" fillId="0" borderId="69" xfId="0" applyFont="1" applyFill="1" applyBorder="1" applyAlignment="1">
      <alignment horizontal="left" vertical="top" indent="2"/>
    </xf>
    <xf numFmtId="0" fontId="45" fillId="0" borderId="69" xfId="0" applyFont="1" applyFill="1" applyBorder="1" applyAlignment="1">
      <alignment horizontal="left" vertical="top" indent="1"/>
    </xf>
    <xf numFmtId="0" fontId="10" fillId="0" borderId="0" xfId="0" applyFont="1" applyFill="1" applyBorder="1" applyAlignment="1"/>
    <xf numFmtId="0" fontId="10" fillId="0" borderId="0" xfId="0" applyFont="1" applyBorder="1" applyAlignment="1">
      <alignment horizontal="left" vertical="center" indent="1"/>
    </xf>
    <xf numFmtId="0" fontId="22" fillId="0" borderId="0" xfId="2" applyFont="1" applyFill="1" applyBorder="1" applyAlignment="1" applyProtection="1">
      <protection hidden="1"/>
    </xf>
    <xf numFmtId="0" fontId="23" fillId="0" borderId="0" xfId="2" applyFont="1" applyFill="1" applyBorder="1" applyAlignment="1" applyProtection="1">
      <alignment horizontal="left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3" fillId="0" borderId="0" xfId="2" applyFont="1" applyFill="1" applyBorder="1" applyAlignment="1" applyProtection="1">
      <alignment vertical="top"/>
      <protection hidden="1"/>
    </xf>
    <xf numFmtId="0" fontId="3" fillId="0" borderId="0" xfId="2" applyFont="1" applyFill="1" applyBorder="1" applyAlignment="1" applyProtection="1">
      <alignment horizontal="center" vertical="top"/>
      <protection hidden="1"/>
    </xf>
    <xf numFmtId="0" fontId="3" fillId="0" borderId="0" xfId="2" applyFont="1" applyFill="1" applyBorder="1" applyAlignment="1" applyProtection="1">
      <alignment vertical="center"/>
      <protection hidden="1"/>
    </xf>
    <xf numFmtId="0" fontId="41" fillId="0" borderId="0" xfId="2" applyFont="1" applyFill="1" applyBorder="1" applyAlignment="1" applyProtection="1">
      <alignment horizontal="right" vertical="center"/>
      <protection hidden="1"/>
    </xf>
    <xf numFmtId="0" fontId="19" fillId="0" borderId="0" xfId="2" applyFont="1" applyFill="1" applyBorder="1" applyAlignment="1" applyProtection="1">
      <alignment vertical="center"/>
      <protection hidden="1"/>
    </xf>
    <xf numFmtId="0" fontId="3" fillId="0" borderId="0" xfId="2" applyFont="1" applyFill="1" applyBorder="1" applyAlignment="1" applyProtection="1">
      <alignment horizontal="center" vertical="center"/>
      <protection hidden="1"/>
    </xf>
    <xf numFmtId="0" fontId="10" fillId="0" borderId="0" xfId="2" applyFont="1" applyFill="1" applyBorder="1" applyAlignment="1" applyProtection="1">
      <alignment horizontal="right" vertical="center"/>
      <protection hidden="1"/>
    </xf>
    <xf numFmtId="166" fontId="41" fillId="0" borderId="0" xfId="2" applyNumberFormat="1" applyFont="1" applyFill="1" applyBorder="1" applyAlignment="1" applyProtection="1">
      <alignment horizontal="right" vertical="center"/>
      <protection hidden="1"/>
    </xf>
    <xf numFmtId="0" fontId="3" fillId="0" borderId="0" xfId="2" applyFont="1" applyFill="1" applyAlignment="1" applyProtection="1">
      <alignment horizontal="center" vertical="center"/>
      <protection hidden="1"/>
    </xf>
    <xf numFmtId="0" fontId="3" fillId="0" borderId="0" xfId="2" applyFont="1" applyFill="1" applyAlignment="1" applyProtection="1">
      <alignment vertical="center"/>
      <protection hidden="1"/>
    </xf>
    <xf numFmtId="0" fontId="16" fillId="6" borderId="24" xfId="3" applyFont="1" applyFill="1" applyBorder="1" applyAlignment="1" applyProtection="1">
      <alignment horizontal="center"/>
      <protection hidden="1"/>
    </xf>
    <xf numFmtId="0" fontId="16" fillId="6" borderId="1" xfId="3" applyFont="1" applyFill="1" applyBorder="1" applyAlignment="1" applyProtection="1">
      <alignment horizontal="center"/>
      <protection hidden="1"/>
    </xf>
    <xf numFmtId="0" fontId="3" fillId="6" borderId="11" xfId="2" applyFont="1" applyFill="1" applyBorder="1" applyAlignment="1" applyProtection="1">
      <alignment horizontal="center" vertical="center"/>
      <protection hidden="1"/>
    </xf>
    <xf numFmtId="0" fontId="3" fillId="6" borderId="0" xfId="2" applyFont="1" applyFill="1" applyBorder="1" applyAlignment="1" applyProtection="1">
      <alignment horizontal="center" vertical="center"/>
      <protection hidden="1"/>
    </xf>
    <xf numFmtId="0" fontId="3" fillId="6" borderId="3" xfId="2" applyFont="1" applyFill="1" applyBorder="1" applyAlignment="1" applyProtection="1">
      <alignment horizontal="center" vertical="center"/>
      <protection hidden="1"/>
    </xf>
    <xf numFmtId="0" fontId="3" fillId="6" borderId="5" xfId="2" applyFont="1" applyFill="1" applyBorder="1" applyAlignment="1" applyProtection="1">
      <alignment vertical="center"/>
      <protection hidden="1"/>
    </xf>
    <xf numFmtId="0" fontId="25" fillId="6" borderId="4" xfId="2" applyFont="1" applyFill="1" applyBorder="1" applyAlignment="1" applyProtection="1">
      <alignment horizontal="center" vertical="top"/>
      <protection hidden="1"/>
    </xf>
    <xf numFmtId="0" fontId="16" fillId="6" borderId="39" xfId="3" applyFont="1" applyFill="1" applyBorder="1" applyAlignment="1" applyProtection="1">
      <alignment horizontal="center" vertical="center"/>
      <protection hidden="1"/>
    </xf>
    <xf numFmtId="0" fontId="16" fillId="6" borderId="50" xfId="3" applyFont="1" applyFill="1" applyBorder="1" applyAlignment="1" applyProtection="1">
      <alignment horizontal="center" vertical="center"/>
      <protection hidden="1"/>
    </xf>
    <xf numFmtId="0" fontId="25" fillId="6" borderId="9" xfId="2" applyFont="1" applyFill="1" applyBorder="1" applyAlignment="1" applyProtection="1">
      <alignment horizontal="center" vertical="center"/>
      <protection hidden="1"/>
    </xf>
    <xf numFmtId="0" fontId="25" fillId="6" borderId="8" xfId="2" applyFont="1" applyFill="1" applyBorder="1" applyAlignment="1" applyProtection="1">
      <alignment horizontal="center" vertical="center"/>
      <protection hidden="1"/>
    </xf>
    <xf numFmtId="0" fontId="16" fillId="6" borderId="8" xfId="3" applyFont="1" applyFill="1" applyBorder="1" applyAlignment="1" applyProtection="1">
      <alignment horizontal="center" vertical="center"/>
      <protection hidden="1"/>
    </xf>
    <xf numFmtId="0" fontId="16" fillId="6" borderId="51" xfId="3" applyFont="1" applyFill="1" applyBorder="1" applyAlignment="1" applyProtection="1">
      <alignment horizontal="center" vertical="center"/>
      <protection hidden="1"/>
    </xf>
    <xf numFmtId="0" fontId="20" fillId="8" borderId="60" xfId="3" applyFont="1" applyFill="1" applyBorder="1" applyAlignment="1" applyProtection="1">
      <alignment vertical="center" wrapText="1"/>
      <protection hidden="1"/>
    </xf>
    <xf numFmtId="3" fontId="28" fillId="8" borderId="59" xfId="3" applyNumberFormat="1" applyFont="1" applyFill="1" applyBorder="1" applyAlignment="1" applyProtection="1">
      <alignment vertical="center"/>
      <protection hidden="1"/>
    </xf>
    <xf numFmtId="3" fontId="28" fillId="8" borderId="61" xfId="3" applyNumberFormat="1" applyFont="1" applyFill="1" applyBorder="1" applyAlignment="1" applyProtection="1">
      <alignment vertical="center"/>
      <protection hidden="1"/>
    </xf>
    <xf numFmtId="3" fontId="28" fillId="7" borderId="45" xfId="3" applyNumberFormat="1" applyFont="1" applyFill="1" applyBorder="1" applyAlignment="1" applyProtection="1">
      <alignment vertical="center"/>
      <protection hidden="1"/>
    </xf>
    <xf numFmtId="0" fontId="10" fillId="0" borderId="0" xfId="3" applyFont="1" applyFill="1" applyBorder="1" applyAlignment="1" applyProtection="1">
      <alignment horizontal="center" vertical="center"/>
      <protection hidden="1"/>
    </xf>
    <xf numFmtId="0" fontId="10" fillId="0" borderId="31" xfId="3" applyFont="1" applyFill="1" applyBorder="1" applyAlignment="1" applyProtection="1">
      <alignment vertical="center" wrapText="1"/>
      <protection hidden="1"/>
    </xf>
    <xf numFmtId="3" fontId="29" fillId="0" borderId="47" xfId="3" applyNumberFormat="1" applyFont="1" applyFill="1" applyBorder="1" applyAlignment="1" applyProtection="1">
      <alignment vertical="center"/>
      <protection hidden="1"/>
    </xf>
    <xf numFmtId="3" fontId="29" fillId="0" borderId="55" xfId="3" applyNumberFormat="1" applyFont="1" applyFill="1" applyBorder="1" applyAlignment="1" applyProtection="1">
      <alignment vertical="center"/>
      <protection hidden="1"/>
    </xf>
    <xf numFmtId="0" fontId="10" fillId="0" borderId="62" xfId="3" applyFont="1" applyFill="1" applyBorder="1" applyAlignment="1" applyProtection="1">
      <alignment vertical="center" wrapText="1"/>
      <protection hidden="1"/>
    </xf>
    <xf numFmtId="3" fontId="29" fillId="0" borderId="64" xfId="3" applyNumberFormat="1" applyFont="1" applyFill="1" applyBorder="1" applyAlignment="1" applyProtection="1">
      <alignment vertical="center"/>
      <protection hidden="1"/>
    </xf>
    <xf numFmtId="3" fontId="29" fillId="0" borderId="65" xfId="3" applyNumberFormat="1" applyFont="1" applyFill="1" applyBorder="1" applyAlignment="1" applyProtection="1">
      <alignment vertical="center"/>
      <protection hidden="1"/>
    </xf>
    <xf numFmtId="0" fontId="20" fillId="7" borderId="28" xfId="3" applyFont="1" applyFill="1" applyBorder="1" applyAlignment="1" applyProtection="1">
      <alignment vertical="center" wrapText="1"/>
      <protection hidden="1"/>
    </xf>
    <xf numFmtId="3" fontId="28" fillId="7" borderId="53" xfId="3" applyNumberFormat="1" applyFont="1" applyFill="1" applyBorder="1" applyAlignment="1" applyProtection="1">
      <alignment vertical="center"/>
      <protection hidden="1"/>
    </xf>
    <xf numFmtId="0" fontId="10" fillId="6" borderId="31" xfId="3" applyFont="1" applyFill="1" applyBorder="1" applyAlignment="1" applyProtection="1">
      <alignment vertical="center" wrapText="1"/>
      <protection hidden="1"/>
    </xf>
    <xf numFmtId="3" fontId="29" fillId="6" borderId="47" xfId="3" applyNumberFormat="1" applyFont="1" applyFill="1" applyBorder="1" applyAlignment="1" applyProtection="1">
      <alignment vertical="center"/>
      <protection hidden="1"/>
    </xf>
    <xf numFmtId="3" fontId="29" fillId="6" borderId="55" xfId="3" applyNumberFormat="1" applyFont="1" applyFill="1" applyBorder="1" applyAlignment="1" applyProtection="1">
      <alignment vertical="center"/>
      <protection hidden="1"/>
    </xf>
    <xf numFmtId="0" fontId="10" fillId="6" borderId="62" xfId="3" applyFont="1" applyFill="1" applyBorder="1" applyAlignment="1" applyProtection="1">
      <alignment vertical="center" wrapText="1"/>
      <protection hidden="1"/>
    </xf>
    <xf numFmtId="3" fontId="29" fillId="6" borderId="64" xfId="3" applyNumberFormat="1" applyFont="1" applyFill="1" applyBorder="1" applyAlignment="1" applyProtection="1">
      <alignment vertical="center"/>
      <protection hidden="1"/>
    </xf>
    <xf numFmtId="3" fontId="29" fillId="6" borderId="65" xfId="3" applyNumberFormat="1" applyFont="1" applyFill="1" applyBorder="1" applyAlignment="1" applyProtection="1">
      <alignment vertical="center"/>
      <protection hidden="1"/>
    </xf>
    <xf numFmtId="0" fontId="10" fillId="6" borderId="20" xfId="2" applyFont="1" applyFill="1" applyBorder="1" applyAlignment="1" applyProtection="1">
      <alignment horizontal="center" vertical="center"/>
      <protection hidden="1"/>
    </xf>
    <xf numFmtId="0" fontId="10" fillId="6" borderId="20" xfId="3" applyFont="1" applyFill="1" applyBorder="1" applyAlignment="1" applyProtection="1">
      <alignment horizontal="center" vertical="center"/>
      <protection hidden="1"/>
    </xf>
    <xf numFmtId="0" fontId="10" fillId="6" borderId="19" xfId="2" applyFont="1" applyFill="1" applyBorder="1" applyAlignment="1" applyProtection="1">
      <alignment horizontal="center" vertical="center"/>
      <protection hidden="1"/>
    </xf>
    <xf numFmtId="0" fontId="10" fillId="0" borderId="69" xfId="0" applyFont="1" applyFill="1" applyBorder="1" applyAlignment="1">
      <alignment horizontal="left" vertical="top" wrapText="1" indent="2"/>
    </xf>
    <xf numFmtId="0" fontId="24" fillId="4" borderId="0" xfId="1" applyNumberFormat="1" applyFont="1" applyFill="1" applyAlignment="1"/>
    <xf numFmtId="0" fontId="15" fillId="7" borderId="0" xfId="1" applyNumberFormat="1" applyFont="1" applyFill="1" applyAlignment="1"/>
    <xf numFmtId="3" fontId="38" fillId="0" borderId="0" xfId="2" applyNumberFormat="1" applyFont="1" applyFill="1" applyBorder="1" applyAlignment="1" applyProtection="1">
      <alignment horizontal="center" vertical="center"/>
      <protection hidden="1"/>
    </xf>
    <xf numFmtId="3" fontId="3" fillId="0" borderId="0" xfId="2" applyNumberFormat="1" applyFont="1" applyFill="1" applyBorder="1" applyAlignment="1" applyProtection="1">
      <alignment vertical="center"/>
      <protection hidden="1"/>
    </xf>
    <xf numFmtId="0" fontId="16" fillId="6" borderId="2" xfId="3" applyFont="1" applyFill="1" applyBorder="1" applyAlignment="1" applyProtection="1">
      <alignment horizontal="center" vertical="center"/>
      <protection hidden="1"/>
    </xf>
    <xf numFmtId="0" fontId="16" fillId="6" borderId="3" xfId="3" applyFont="1" applyFill="1" applyBorder="1" applyAlignment="1" applyProtection="1">
      <alignment horizontal="center" vertical="center"/>
      <protection hidden="1"/>
    </xf>
    <xf numFmtId="0" fontId="16" fillId="6" borderId="4" xfId="3" applyFont="1" applyFill="1" applyBorder="1" applyAlignment="1" applyProtection="1">
      <alignment horizontal="center" vertical="center"/>
      <protection hidden="1"/>
    </xf>
    <xf numFmtId="0" fontId="16" fillId="6" borderId="5" xfId="3" applyFont="1" applyFill="1" applyBorder="1" applyAlignment="1" applyProtection="1">
      <alignment horizontal="center" vertical="center"/>
      <protection hidden="1"/>
    </xf>
    <xf numFmtId="0" fontId="16" fillId="6" borderId="6" xfId="3" applyFont="1" applyFill="1" applyBorder="1" applyAlignment="1" applyProtection="1">
      <alignment horizontal="center" vertical="center"/>
      <protection hidden="1"/>
    </xf>
    <xf numFmtId="0" fontId="25" fillId="6" borderId="5" xfId="2" applyFont="1" applyFill="1" applyBorder="1" applyAlignment="1" applyProtection="1">
      <alignment horizontal="center" vertical="center"/>
      <protection hidden="1"/>
    </xf>
    <xf numFmtId="0" fontId="25" fillId="6" borderId="4" xfId="2" applyFont="1" applyFill="1" applyBorder="1" applyAlignment="1" applyProtection="1">
      <alignment horizontal="center" vertical="center"/>
      <protection hidden="1"/>
    </xf>
    <xf numFmtId="0" fontId="16" fillId="6" borderId="66" xfId="3" applyFont="1" applyFill="1" applyBorder="1" applyAlignment="1" applyProtection="1">
      <alignment horizontal="center" vertical="center"/>
      <protection hidden="1"/>
    </xf>
    <xf numFmtId="0" fontId="20" fillId="2" borderId="27" xfId="3" applyFont="1" applyFill="1" applyBorder="1" applyAlignment="1" applyProtection="1">
      <alignment vertical="center" wrapText="1"/>
      <protection hidden="1"/>
    </xf>
    <xf numFmtId="3" fontId="28" fillId="2" borderId="10" xfId="3" applyNumberFormat="1" applyFont="1" applyFill="1" applyBorder="1" applyAlignment="1" applyProtection="1">
      <alignment vertical="center"/>
      <protection hidden="1"/>
    </xf>
    <xf numFmtId="3" fontId="28" fillId="2" borderId="22" xfId="3" applyNumberFormat="1" applyFont="1" applyFill="1" applyBorder="1" applyAlignment="1" applyProtection="1">
      <alignment vertical="center"/>
      <protection hidden="1"/>
    </xf>
    <xf numFmtId="3" fontId="28" fillId="7" borderId="29" xfId="3" applyNumberFormat="1" applyFont="1" applyFill="1" applyBorder="1" applyAlignment="1" applyProtection="1">
      <alignment vertical="center"/>
      <protection hidden="1"/>
    </xf>
    <xf numFmtId="3" fontId="28" fillId="7" borderId="30" xfId="3" applyNumberFormat="1" applyFont="1" applyFill="1" applyBorder="1" applyAlignment="1" applyProtection="1">
      <alignment vertical="center"/>
      <protection hidden="1"/>
    </xf>
    <xf numFmtId="164" fontId="10" fillId="6" borderId="32" xfId="3" applyNumberFormat="1" applyFont="1" applyFill="1" applyBorder="1" applyAlignment="1" applyProtection="1">
      <alignment horizontal="center" vertical="center"/>
      <protection hidden="1"/>
    </xf>
    <xf numFmtId="3" fontId="29" fillId="6" borderId="32" xfId="3" applyNumberFormat="1" applyFont="1" applyFill="1" applyBorder="1" applyAlignment="1" applyProtection="1">
      <alignment vertical="center"/>
      <protection hidden="1"/>
    </xf>
    <xf numFmtId="3" fontId="29" fillId="6" borderId="33" xfId="3" applyNumberFormat="1" applyFont="1" applyFill="1" applyBorder="1" applyAlignment="1" applyProtection="1">
      <alignment vertical="center"/>
      <protection hidden="1"/>
    </xf>
    <xf numFmtId="0" fontId="10" fillId="6" borderId="34" xfId="3" applyFont="1" applyFill="1" applyBorder="1" applyAlignment="1" applyProtection="1">
      <alignment vertical="center" wrapText="1"/>
      <protection hidden="1"/>
    </xf>
    <xf numFmtId="3" fontId="29" fillId="6" borderId="35" xfId="3" applyNumberFormat="1" applyFont="1" applyFill="1" applyBorder="1" applyAlignment="1" applyProtection="1">
      <alignment vertical="center"/>
      <protection hidden="1"/>
    </xf>
    <xf numFmtId="3" fontId="29" fillId="6" borderId="36" xfId="3" applyNumberFormat="1" applyFont="1" applyFill="1" applyBorder="1" applyAlignment="1" applyProtection="1">
      <alignment vertical="center"/>
      <protection hidden="1"/>
    </xf>
    <xf numFmtId="0" fontId="20" fillId="2" borderId="14" xfId="3" applyFont="1" applyFill="1" applyBorder="1" applyAlignment="1" applyProtection="1">
      <alignment horizontal="center" vertical="center"/>
      <protection hidden="1"/>
    </xf>
    <xf numFmtId="0" fontId="20" fillId="2" borderId="25" xfId="3" applyFont="1" applyFill="1" applyBorder="1" applyAlignment="1" applyProtection="1">
      <alignment horizontal="center" vertical="center"/>
      <protection hidden="1"/>
    </xf>
    <xf numFmtId="0" fontId="31" fillId="2" borderId="26" xfId="3" applyFont="1" applyFill="1" applyBorder="1" applyAlignment="1" applyProtection="1">
      <alignment horizontal="center" vertical="center"/>
      <protection hidden="1"/>
    </xf>
    <xf numFmtId="164" fontId="20" fillId="2" borderId="10" xfId="3" applyNumberFormat="1" applyFont="1" applyFill="1" applyBorder="1" applyAlignment="1" applyProtection="1">
      <alignment horizontal="center" vertical="center"/>
      <protection hidden="1"/>
    </xf>
    <xf numFmtId="0" fontId="20" fillId="7" borderId="19" xfId="3" applyFont="1" applyFill="1" applyBorder="1" applyAlignment="1" applyProtection="1">
      <alignment horizontal="center" vertical="center"/>
      <protection hidden="1"/>
    </xf>
    <xf numFmtId="0" fontId="20" fillId="7" borderId="20" xfId="3" applyFont="1" applyFill="1" applyBorder="1" applyAlignment="1" applyProtection="1">
      <alignment horizontal="center" vertical="center"/>
      <protection hidden="1"/>
    </xf>
    <xf numFmtId="164" fontId="20" fillId="7" borderId="29" xfId="3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42" fillId="0" borderId="0" xfId="2" applyFont="1" applyFill="1" applyBorder="1" applyAlignment="1">
      <alignment horizontal="left"/>
    </xf>
    <xf numFmtId="0" fontId="21" fillId="0" borderId="0" xfId="2" applyFont="1" applyFill="1" applyBorder="1" applyAlignment="1" applyProtection="1">
      <protection hidden="1"/>
    </xf>
    <xf numFmtId="0" fontId="40" fillId="0" borderId="0" xfId="0" applyFont="1" applyFill="1" applyBorder="1" applyAlignment="1" applyProtection="1">
      <alignment horizontal="right"/>
      <protection hidden="1"/>
    </xf>
    <xf numFmtId="0" fontId="19" fillId="0" borderId="0" xfId="2" applyFont="1" applyFill="1" applyBorder="1" applyAlignment="1" applyProtection="1">
      <alignment horizontal="right"/>
      <protection hidden="1"/>
    </xf>
    <xf numFmtId="0" fontId="18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8" fillId="0" borderId="0" xfId="2" applyFont="1" applyFill="1" applyAlignment="1" applyProtection="1">
      <alignment horizontal="center" vertical="center"/>
      <protection hidden="1"/>
    </xf>
    <xf numFmtId="0" fontId="16" fillId="6" borderId="67" xfId="3" applyFont="1" applyFill="1" applyBorder="1" applyAlignment="1" applyProtection="1">
      <alignment horizontal="center" vertical="center"/>
      <protection hidden="1"/>
    </xf>
    <xf numFmtId="0" fontId="10" fillId="0" borderId="42" xfId="3" applyFont="1" applyFill="1" applyBorder="1" applyAlignment="1" applyProtection="1">
      <alignment vertical="center" wrapText="1"/>
      <protection hidden="1"/>
    </xf>
    <xf numFmtId="3" fontId="29" fillId="0" borderId="46" xfId="3" applyNumberFormat="1" applyFont="1" applyFill="1" applyBorder="1" applyAlignment="1" applyProtection="1">
      <alignment vertical="center"/>
      <protection hidden="1"/>
    </xf>
    <xf numFmtId="3" fontId="29" fillId="0" borderId="54" xfId="3" applyNumberFormat="1" applyFont="1" applyFill="1" applyBorder="1" applyAlignment="1" applyProtection="1">
      <alignment vertical="center"/>
      <protection hidden="1"/>
    </xf>
    <xf numFmtId="164" fontId="10" fillId="0" borderId="32" xfId="3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/>
    <xf numFmtId="3" fontId="10" fillId="0" borderId="0" xfId="2" applyNumberFormat="1" applyFont="1" applyFill="1" applyBorder="1" applyAlignment="1" applyProtection="1">
      <alignment horizontal="right" vertical="center"/>
      <protection hidden="1"/>
    </xf>
    <xf numFmtId="3" fontId="3" fillId="0" borderId="0" xfId="2" applyNumberFormat="1" applyFont="1" applyFill="1" applyAlignment="1" applyProtection="1">
      <alignment vertical="center"/>
      <protection hidden="1"/>
    </xf>
    <xf numFmtId="0" fontId="32" fillId="0" borderId="69" xfId="0" applyFont="1" applyFill="1" applyBorder="1" applyAlignment="1">
      <alignment horizontal="left" vertical="top" indent="1"/>
    </xf>
    <xf numFmtId="0" fontId="45" fillId="0" borderId="69" xfId="0" applyFont="1" applyFill="1" applyBorder="1" applyAlignment="1">
      <alignment horizontal="left" vertical="top" wrapText="1" indent="1"/>
    </xf>
    <xf numFmtId="0" fontId="10" fillId="0" borderId="0" xfId="0" applyFont="1" applyFill="1" applyBorder="1" applyAlignment="1">
      <alignment horizontal="left" vertical="top" wrapText="1" indent="1"/>
    </xf>
    <xf numFmtId="0" fontId="10" fillId="0" borderId="0" xfId="0" applyFont="1" applyFill="1" applyBorder="1" applyAlignment="1">
      <alignment horizontal="left" vertical="top" indent="2"/>
    </xf>
    <xf numFmtId="0" fontId="10" fillId="0" borderId="0" xfId="0" applyFont="1" applyFill="1" applyBorder="1" applyAlignment="1">
      <alignment horizontal="left" vertical="top"/>
    </xf>
    <xf numFmtId="3" fontId="29" fillId="0" borderId="49" xfId="3" applyNumberFormat="1" applyFont="1" applyFill="1" applyBorder="1" applyAlignment="1" applyProtection="1">
      <alignment vertical="center"/>
      <protection hidden="1"/>
    </xf>
    <xf numFmtId="3" fontId="29" fillId="0" borderId="56" xfId="3" applyNumberFormat="1" applyFont="1" applyFill="1" applyBorder="1" applyAlignment="1" applyProtection="1">
      <alignment vertical="center"/>
      <protection hidden="1"/>
    </xf>
    <xf numFmtId="0" fontId="48" fillId="7" borderId="20" xfId="3" applyFont="1" applyFill="1" applyBorder="1" applyAlignment="1" applyProtection="1">
      <alignment horizontal="center" vertical="center"/>
      <protection hidden="1"/>
    </xf>
    <xf numFmtId="0" fontId="20" fillId="8" borderId="58" xfId="2" applyFont="1" applyFill="1" applyBorder="1" applyAlignment="1" applyProtection="1">
      <alignment horizontal="center" vertical="center"/>
      <protection hidden="1"/>
    </xf>
    <xf numFmtId="165" fontId="20" fillId="8" borderId="41" xfId="3" applyNumberFormat="1" applyFont="1" applyFill="1" applyBorder="1" applyAlignment="1" applyProtection="1">
      <alignment horizontal="center" vertical="center"/>
      <protection hidden="1"/>
    </xf>
    <xf numFmtId="165" fontId="12" fillId="3" borderId="0" xfId="0" applyNumberFormat="1" applyFont="1" applyFill="1" applyAlignment="1">
      <alignment vertical="top"/>
    </xf>
    <xf numFmtId="0" fontId="12" fillId="3" borderId="0" xfId="0" applyFont="1" applyFill="1" applyAlignment="1">
      <alignment vertical="top"/>
    </xf>
    <xf numFmtId="0" fontId="12" fillId="3" borderId="0" xfId="0" applyFont="1" applyFill="1" applyAlignment="1">
      <alignment horizontal="center" vertical="top"/>
    </xf>
    <xf numFmtId="0" fontId="12" fillId="3" borderId="0" xfId="0" applyNumberFormat="1" applyFont="1" applyFill="1" applyAlignment="1">
      <alignment vertical="top"/>
    </xf>
    <xf numFmtId="0" fontId="11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165" fontId="13" fillId="0" borderId="0" xfId="0" applyNumberFormat="1" applyFont="1" applyFill="1" applyAlignment="1">
      <alignment vertical="top"/>
    </xf>
    <xf numFmtId="0" fontId="13" fillId="0" borderId="0" xfId="0" applyFont="1" applyFill="1" applyAlignment="1">
      <alignment vertical="top"/>
    </xf>
    <xf numFmtId="0" fontId="13" fillId="0" borderId="0" xfId="0" applyFont="1" applyFill="1" applyAlignment="1">
      <alignment horizontal="center" vertical="top"/>
    </xf>
    <xf numFmtId="0" fontId="13" fillId="0" borderId="0" xfId="0" applyNumberFormat="1" applyFont="1" applyFill="1" applyAlignment="1">
      <alignment vertical="top"/>
    </xf>
    <xf numFmtId="0" fontId="6" fillId="0" borderId="0" xfId="0" applyFont="1" applyAlignment="1"/>
    <xf numFmtId="0" fontId="11" fillId="0" borderId="0" xfId="0" applyFont="1" applyFill="1" applyAlignment="1">
      <alignment vertical="top"/>
    </xf>
    <xf numFmtId="0" fontId="20" fillId="0" borderId="0" xfId="0" applyFont="1" applyAlignment="1">
      <alignment vertical="center"/>
    </xf>
    <xf numFmtId="0" fontId="5" fillId="0" borderId="0" xfId="1" applyFill="1"/>
    <xf numFmtId="0" fontId="13" fillId="0" borderId="0" xfId="0" applyFont="1" applyAlignment="1">
      <alignment vertical="top"/>
    </xf>
    <xf numFmtId="165" fontId="13" fillId="0" borderId="0" xfId="0" applyNumberFormat="1" applyFont="1" applyFill="1" applyAlignment="1">
      <alignment horizontal="center" vertical="top"/>
    </xf>
    <xf numFmtId="164" fontId="12" fillId="3" borderId="0" xfId="0" applyNumberFormat="1" applyFont="1" applyFill="1" applyAlignment="1">
      <alignment vertical="top"/>
    </xf>
    <xf numFmtId="0" fontId="12" fillId="3" borderId="0" xfId="0" applyFont="1" applyFill="1" applyAlignment="1">
      <alignment horizontal="left" vertical="top"/>
    </xf>
    <xf numFmtId="164" fontId="13" fillId="0" borderId="0" xfId="0" applyNumberFormat="1" applyFont="1" applyFill="1" applyAlignment="1">
      <alignment horizontal="center" vertical="top"/>
    </xf>
    <xf numFmtId="0" fontId="13" fillId="0" borderId="0" xfId="0" applyFont="1" applyFill="1" applyAlignment="1">
      <alignment horizontal="left" vertical="top"/>
    </xf>
    <xf numFmtId="164" fontId="13" fillId="0" borderId="0" xfId="0" applyNumberFormat="1" applyFont="1" applyFill="1" applyAlignment="1">
      <alignment vertical="top"/>
    </xf>
    <xf numFmtId="164" fontId="13" fillId="0" borderId="0" xfId="0" applyNumberFormat="1" applyFont="1" applyAlignment="1">
      <alignment horizontal="center" vertical="top"/>
    </xf>
    <xf numFmtId="164" fontId="12" fillId="3" borderId="0" xfId="0" applyNumberFormat="1" applyFont="1" applyFill="1" applyAlignment="1">
      <alignment horizontal="left" vertical="top"/>
    </xf>
    <xf numFmtId="0" fontId="13" fillId="0" borderId="0" xfId="0" applyNumberFormat="1" applyFont="1" applyAlignment="1">
      <alignment horizontal="center" vertical="top"/>
    </xf>
    <xf numFmtId="0" fontId="13" fillId="0" borderId="0" xfId="0" applyNumberFormat="1" applyFont="1" applyFill="1" applyAlignment="1">
      <alignment horizontal="center" vertical="top"/>
    </xf>
    <xf numFmtId="20" fontId="13" fillId="0" borderId="0" xfId="0" applyNumberFormat="1" applyFont="1" applyAlignment="1">
      <alignment vertical="top"/>
    </xf>
    <xf numFmtId="49" fontId="32" fillId="7" borderId="0" xfId="0" applyNumberFormat="1" applyFont="1" applyFill="1" applyBorder="1" applyAlignment="1" applyProtection="1">
      <alignment horizontal="left" vertical="center" indent="1"/>
      <protection locked="0"/>
    </xf>
    <xf numFmtId="1" fontId="32" fillId="7" borderId="0" xfId="0" applyNumberFormat="1" applyFont="1" applyFill="1" applyBorder="1" applyAlignment="1" applyProtection="1">
      <alignment horizontal="center" vertical="center"/>
      <protection locked="0"/>
    </xf>
    <xf numFmtId="14" fontId="32" fillId="7" borderId="71" xfId="0" applyNumberFormat="1" applyFont="1" applyFill="1" applyBorder="1" applyAlignment="1" applyProtection="1">
      <alignment horizontal="center" vertical="center"/>
      <protection locked="0"/>
    </xf>
    <xf numFmtId="14" fontId="32" fillId="7" borderId="70" xfId="0" applyNumberFormat="1" applyFont="1" applyFill="1" applyBorder="1" applyAlignment="1" applyProtection="1">
      <alignment horizontal="center" vertical="center"/>
      <protection locked="0"/>
    </xf>
    <xf numFmtId="3" fontId="3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32" fillId="7" borderId="68" xfId="0" applyFont="1" applyFill="1" applyBorder="1" applyAlignment="1" applyProtection="1">
      <alignment horizontal="center" vertical="center"/>
      <protection locked="0"/>
    </xf>
    <xf numFmtId="3" fontId="30" fillId="9" borderId="75" xfId="0" applyNumberFormat="1" applyFont="1" applyFill="1" applyBorder="1" applyAlignment="1" applyProtection="1">
      <alignment horizontal="center" vertical="center"/>
      <protection hidden="1"/>
    </xf>
    <xf numFmtId="3" fontId="30" fillId="9" borderId="74" xfId="0" applyNumberFormat="1" applyFont="1" applyFill="1" applyBorder="1" applyAlignment="1" applyProtection="1">
      <alignment horizontal="center" vertical="center"/>
      <protection hidden="1"/>
    </xf>
    <xf numFmtId="3" fontId="49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horizontal="center" vertical="center"/>
      <protection hidden="1"/>
    </xf>
    <xf numFmtId="0" fontId="35" fillId="2" borderId="68" xfId="0" applyFont="1" applyFill="1" applyBorder="1" applyAlignment="1">
      <alignment horizontal="center" vertical="center"/>
    </xf>
    <xf numFmtId="0" fontId="35" fillId="2" borderId="78" xfId="0" applyFont="1" applyFill="1" applyBorder="1" applyAlignment="1">
      <alignment horizontal="center" vertical="center"/>
    </xf>
    <xf numFmtId="3" fontId="30" fillId="9" borderId="76" xfId="0" applyNumberFormat="1" applyFont="1" applyFill="1" applyBorder="1" applyAlignment="1" applyProtection="1">
      <alignment horizontal="center" vertical="center"/>
      <protection hidden="1"/>
    </xf>
    <xf numFmtId="0" fontId="10" fillId="2" borderId="78" xfId="0" applyFont="1" applyFill="1" applyBorder="1" applyAlignment="1">
      <alignment vertical="center"/>
    </xf>
    <xf numFmtId="0" fontId="10" fillId="2" borderId="68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6" fillId="7" borderId="0" xfId="0" applyFont="1" applyFill="1" applyAlignment="1">
      <alignment vertical="center"/>
    </xf>
    <xf numFmtId="0" fontId="6" fillId="7" borderId="0" xfId="0" applyFont="1" applyFill="1" applyBorder="1" applyAlignment="1">
      <alignment vertical="center"/>
    </xf>
    <xf numFmtId="0" fontId="10" fillId="7" borderId="0" xfId="0" applyFont="1" applyFill="1" applyAlignment="1"/>
    <xf numFmtId="0" fontId="10" fillId="7" borderId="0" xfId="0" applyFont="1" applyFill="1" applyBorder="1" applyAlignment="1">
      <alignment vertical="center"/>
    </xf>
    <xf numFmtId="0" fontId="49" fillId="7" borderId="0" xfId="0" applyFont="1" applyFill="1" applyBorder="1" applyAlignment="1">
      <alignment horizontal="left" vertical="center"/>
    </xf>
    <xf numFmtId="4" fontId="49" fillId="7" borderId="0" xfId="0" applyNumberFormat="1" applyFont="1" applyFill="1" applyBorder="1" applyAlignment="1">
      <alignment horizontal="center" vertical="center"/>
    </xf>
    <xf numFmtId="0" fontId="44" fillId="7" borderId="0" xfId="0" applyFont="1" applyFill="1" applyBorder="1" applyAlignment="1"/>
    <xf numFmtId="0" fontId="50" fillId="7" borderId="0" xfId="0" applyFont="1" applyFill="1" applyBorder="1" applyAlignment="1">
      <alignment horizontal="center" wrapText="1"/>
    </xf>
    <xf numFmtId="0" fontId="51" fillId="7" borderId="0" xfId="0" applyFont="1" applyFill="1" applyBorder="1" applyAlignment="1">
      <alignment horizontal="center" wrapText="1"/>
    </xf>
    <xf numFmtId="14" fontId="52" fillId="7" borderId="0" xfId="0" applyNumberFormat="1" applyFont="1" applyFill="1" applyBorder="1" applyAlignment="1">
      <alignment horizontal="center" vertical="center"/>
    </xf>
    <xf numFmtId="0" fontId="44" fillId="7" borderId="0" xfId="0" applyFont="1" applyFill="1" applyBorder="1" applyAlignment="1">
      <alignment vertical="center"/>
    </xf>
    <xf numFmtId="0" fontId="32" fillId="7" borderId="0" xfId="0" applyFont="1" applyFill="1" applyBorder="1" applyAlignment="1">
      <alignment horizontal="left" vertical="center"/>
    </xf>
    <xf numFmtId="0" fontId="32" fillId="7" borderId="0" xfId="0" applyFont="1" applyFill="1" applyBorder="1" applyAlignment="1">
      <alignment vertical="center"/>
    </xf>
    <xf numFmtId="164" fontId="32" fillId="7" borderId="0" xfId="0" applyNumberFormat="1" applyFont="1" applyFill="1" applyBorder="1" applyAlignment="1">
      <alignment horizontal="left" vertical="center"/>
    </xf>
    <xf numFmtId="0" fontId="32" fillId="7" borderId="73" xfId="0" applyFont="1" applyFill="1" applyBorder="1" applyAlignment="1">
      <alignment horizontal="left" vertical="center"/>
    </xf>
    <xf numFmtId="0" fontId="32" fillId="7" borderId="0" xfId="0" applyFont="1" applyFill="1" applyBorder="1" applyAlignment="1" applyProtection="1">
      <alignment horizontal="center" vertical="center"/>
      <protection locked="0"/>
    </xf>
    <xf numFmtId="14" fontId="46" fillId="7" borderId="0" xfId="0" applyNumberFormat="1" applyFont="1" applyFill="1" applyBorder="1" applyAlignment="1">
      <alignment horizontal="center" vertical="center"/>
    </xf>
    <xf numFmtId="0" fontId="53" fillId="7" borderId="0" xfId="0" applyFont="1" applyFill="1" applyBorder="1" applyAlignment="1">
      <alignment vertical="center"/>
    </xf>
    <xf numFmtId="14" fontId="53" fillId="7" borderId="0" xfId="0" applyNumberFormat="1" applyFont="1" applyFill="1" applyBorder="1" applyAlignment="1">
      <alignment horizontal="center" vertical="center"/>
    </xf>
    <xf numFmtId="0" fontId="50" fillId="7" borderId="0" xfId="0" applyFont="1" applyFill="1" applyAlignment="1">
      <alignment vertical="center"/>
    </xf>
    <xf numFmtId="0" fontId="30" fillId="7" borderId="77" xfId="0" applyFont="1" applyFill="1" applyBorder="1" applyAlignment="1">
      <alignment horizontal="center" vertical="center"/>
    </xf>
    <xf numFmtId="0" fontId="30" fillId="7" borderId="79" xfId="0" applyFont="1" applyFill="1" applyBorder="1" applyAlignment="1">
      <alignment horizontal="center" vertical="center"/>
    </xf>
    <xf numFmtId="3" fontId="32" fillId="7" borderId="0" xfId="0" applyNumberFormat="1" applyFont="1" applyFill="1" applyBorder="1" applyAlignment="1">
      <alignment horizontal="center" vertical="center"/>
    </xf>
    <xf numFmtId="0" fontId="32" fillId="7" borderId="0" xfId="0" applyFont="1" applyFill="1" applyBorder="1" applyAlignment="1">
      <alignment horizontal="center" vertical="center"/>
    </xf>
    <xf numFmtId="0" fontId="32" fillId="7" borderId="73" xfId="0" applyFont="1" applyFill="1" applyBorder="1" applyAlignment="1">
      <alignment vertical="center"/>
    </xf>
    <xf numFmtId="4" fontId="49" fillId="7" borderId="73" xfId="0" applyNumberFormat="1" applyFont="1" applyFill="1" applyBorder="1" applyAlignment="1">
      <alignment horizontal="center" vertical="center"/>
    </xf>
    <xf numFmtId="3" fontId="32" fillId="7" borderId="73" xfId="0" applyNumberFormat="1" applyFont="1" applyFill="1" applyBorder="1" applyAlignment="1">
      <alignment horizontal="center" vertical="center"/>
    </xf>
    <xf numFmtId="4" fontId="32" fillId="7" borderId="73" xfId="0" applyNumberFormat="1" applyFont="1" applyFill="1" applyBorder="1" applyAlignment="1">
      <alignment horizontal="center" vertical="center"/>
    </xf>
    <xf numFmtId="0" fontId="30" fillId="7" borderId="73" xfId="0" applyFont="1" applyFill="1" applyBorder="1" applyAlignment="1">
      <alignment horizontal="center" vertical="center"/>
    </xf>
    <xf numFmtId="0" fontId="30" fillId="7" borderId="80" xfId="0" applyFont="1" applyFill="1" applyBorder="1" applyAlignment="1">
      <alignment horizontal="center" vertical="center"/>
    </xf>
    <xf numFmtId="164" fontId="15" fillId="0" borderId="0" xfId="1" applyNumberFormat="1" applyFont="1" applyFill="1" applyAlignment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 applyAlignment="1">
      <alignment horizontal="left"/>
    </xf>
    <xf numFmtId="164" fontId="37" fillId="0" borderId="0" xfId="1" applyNumberFormat="1" applyFont="1" applyFill="1" applyAlignment="1" applyProtection="1">
      <alignment horizontal="center"/>
      <protection locked="0"/>
    </xf>
    <xf numFmtId="164" fontId="14" fillId="0" borderId="0" xfId="1" applyNumberFormat="1" applyFont="1" applyFill="1" applyAlignment="1">
      <alignment horizontal="center"/>
    </xf>
    <xf numFmtId="164" fontId="14" fillId="0" borderId="0" xfId="1" applyNumberFormat="1" applyFont="1" applyFill="1" applyAlignment="1"/>
    <xf numFmtId="0" fontId="15" fillId="0" borderId="0" xfId="1" applyNumberFormat="1" applyFont="1" applyFill="1" applyAlignment="1">
      <alignment horizontal="center"/>
    </xf>
    <xf numFmtId="0" fontId="15" fillId="0" borderId="0" xfId="1" applyNumberFormat="1" applyFont="1" applyFill="1" applyAlignment="1"/>
    <xf numFmtId="4" fontId="5" fillId="0" borderId="0" xfId="1" applyNumberFormat="1" applyFill="1"/>
    <xf numFmtId="0" fontId="10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 indent="1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vertical="center" wrapText="1"/>
    </xf>
    <xf numFmtId="0" fontId="32" fillId="0" borderId="0" xfId="0" applyFont="1" applyBorder="1" applyAlignment="1" applyProtection="1">
      <alignment vertical="center"/>
    </xf>
    <xf numFmtId="164" fontId="54" fillId="0" borderId="0" xfId="0" applyNumberFormat="1" applyFont="1" applyFill="1" applyAlignment="1">
      <alignment horizontal="center" vertical="top"/>
    </xf>
    <xf numFmtId="0" fontId="54" fillId="0" borderId="0" xfId="0" applyFont="1" applyFill="1" applyAlignment="1">
      <alignment vertical="top"/>
    </xf>
    <xf numFmtId="0" fontId="54" fillId="0" borderId="0" xfId="0" applyFont="1" applyFill="1" applyAlignment="1">
      <alignment horizontal="center" vertical="top"/>
    </xf>
    <xf numFmtId="0" fontId="54" fillId="0" borderId="0" xfId="0" applyNumberFormat="1" applyFont="1" applyFill="1" applyAlignment="1">
      <alignment vertical="top"/>
    </xf>
    <xf numFmtId="0" fontId="55" fillId="0" borderId="0" xfId="0" applyFont="1" applyAlignment="1">
      <alignment vertical="top"/>
    </xf>
    <xf numFmtId="0" fontId="56" fillId="0" borderId="0" xfId="0" applyFont="1" applyAlignment="1">
      <alignment vertical="top"/>
    </xf>
    <xf numFmtId="0" fontId="3" fillId="6" borderId="16" xfId="2" applyFont="1" applyFill="1" applyBorder="1" applyAlignment="1" applyProtection="1">
      <alignment horizontal="center"/>
      <protection hidden="1"/>
    </xf>
    <xf numFmtId="0" fontId="3" fillId="6" borderId="21" xfId="2" applyFont="1" applyFill="1" applyBorder="1" applyAlignment="1" applyProtection="1">
      <alignment horizontal="center"/>
      <protection hidden="1"/>
    </xf>
    <xf numFmtId="0" fontId="25" fillId="6" borderId="0" xfId="2" applyFont="1" applyFill="1" applyBorder="1" applyAlignment="1" applyProtection="1">
      <alignment horizontal="center" vertical="center"/>
      <protection hidden="1"/>
    </xf>
    <xf numFmtId="0" fontId="25" fillId="6" borderId="3" xfId="2" applyFont="1" applyFill="1" applyBorder="1" applyAlignment="1" applyProtection="1">
      <alignment horizontal="center" vertical="center"/>
      <protection hidden="1"/>
    </xf>
    <xf numFmtId="0" fontId="25" fillId="6" borderId="13" xfId="2" applyFont="1" applyFill="1" applyBorder="1" applyAlignment="1" applyProtection="1">
      <alignment horizontal="center" vertical="center"/>
      <protection hidden="1"/>
    </xf>
    <xf numFmtId="0" fontId="10" fillId="6" borderId="42" xfId="3" applyFont="1" applyFill="1" applyBorder="1" applyAlignment="1" applyProtection="1">
      <alignment vertical="center" wrapText="1"/>
      <protection hidden="1"/>
    </xf>
    <xf numFmtId="164" fontId="10" fillId="6" borderId="43" xfId="3" applyNumberFormat="1" applyFont="1" applyFill="1" applyBorder="1" applyAlignment="1" applyProtection="1">
      <alignment horizontal="center" vertical="center"/>
      <protection hidden="1"/>
    </xf>
    <xf numFmtId="3" fontId="29" fillId="6" borderId="43" xfId="3" applyNumberFormat="1" applyFont="1" applyFill="1" applyBorder="1" applyAlignment="1" applyProtection="1">
      <alignment vertical="center"/>
      <protection hidden="1"/>
    </xf>
    <xf numFmtId="3" fontId="29" fillId="6" borderId="82" xfId="3" applyNumberFormat="1" applyFont="1" applyFill="1" applyBorder="1" applyAlignment="1" applyProtection="1">
      <alignment vertical="center"/>
      <protection hidden="1"/>
    </xf>
    <xf numFmtId="0" fontId="20" fillId="7" borderId="83" xfId="3" applyFont="1" applyFill="1" applyBorder="1" applyAlignment="1" applyProtection="1">
      <alignment horizontal="center" vertical="center"/>
      <protection hidden="1"/>
    </xf>
    <xf numFmtId="0" fontId="20" fillId="7" borderId="84" xfId="3" applyFont="1" applyFill="1" applyBorder="1" applyAlignment="1" applyProtection="1">
      <alignment horizontal="center" vertical="center"/>
      <protection hidden="1"/>
    </xf>
    <xf numFmtId="0" fontId="48" fillId="7" borderId="84" xfId="3" applyFont="1" applyFill="1" applyBorder="1" applyAlignment="1" applyProtection="1">
      <alignment horizontal="center" vertical="center"/>
      <protection hidden="1"/>
    </xf>
    <xf numFmtId="0" fontId="31" fillId="2" borderId="25" xfId="3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20" fillId="7" borderId="45" xfId="3" applyFont="1" applyFill="1" applyBorder="1" applyAlignment="1" applyProtection="1">
      <alignment horizontal="center" vertical="center"/>
      <protection hidden="1"/>
    </xf>
    <xf numFmtId="0" fontId="39" fillId="0" borderId="0" xfId="0" applyFont="1" applyBorder="1" applyAlignment="1">
      <alignment vertical="center"/>
    </xf>
    <xf numFmtId="164" fontId="10" fillId="6" borderId="63" xfId="3" applyNumberFormat="1" applyFont="1" applyFill="1" applyBorder="1" applyAlignment="1" applyProtection="1">
      <alignment horizontal="center" vertical="center"/>
      <protection hidden="1"/>
    </xf>
    <xf numFmtId="3" fontId="29" fillId="6" borderId="63" xfId="3" applyNumberFormat="1" applyFont="1" applyFill="1" applyBorder="1" applyAlignment="1" applyProtection="1">
      <alignment vertical="center"/>
      <protection hidden="1"/>
    </xf>
    <xf numFmtId="3" fontId="29" fillId="6" borderId="85" xfId="3" applyNumberFormat="1" applyFont="1" applyFill="1" applyBorder="1" applyAlignment="1" applyProtection="1">
      <alignment vertical="center"/>
      <protection hidden="1"/>
    </xf>
    <xf numFmtId="0" fontId="57" fillId="0" borderId="0" xfId="0" applyFont="1" applyBorder="1" applyAlignment="1">
      <alignment vertical="center"/>
    </xf>
    <xf numFmtId="0" fontId="58" fillId="6" borderId="11" xfId="3" applyFont="1" applyFill="1" applyBorder="1" applyAlignment="1" applyProtection="1">
      <alignment horizontal="center" vertical="center"/>
      <protection hidden="1"/>
    </xf>
    <xf numFmtId="0" fontId="58" fillId="6" borderId="0" xfId="2" applyFont="1" applyFill="1" applyBorder="1" applyAlignment="1" applyProtection="1">
      <alignment horizontal="center" vertical="center"/>
      <protection hidden="1"/>
    </xf>
    <xf numFmtId="0" fontId="59" fillId="6" borderId="0" xfId="3" applyFont="1" applyFill="1" applyBorder="1" applyAlignment="1" applyProtection="1">
      <alignment horizontal="center" vertical="center"/>
      <protection hidden="1"/>
    </xf>
    <xf numFmtId="164" fontId="59" fillId="6" borderId="4" xfId="3" applyNumberFormat="1" applyFont="1" applyFill="1" applyBorder="1" applyAlignment="1" applyProtection="1">
      <alignment horizontal="center" vertical="center"/>
      <protection hidden="1"/>
    </xf>
    <xf numFmtId="0" fontId="59" fillId="0" borderId="0" xfId="0" applyFont="1" applyBorder="1" applyAlignment="1">
      <alignment vertical="center"/>
    </xf>
    <xf numFmtId="0" fontId="60" fillId="7" borderId="76" xfId="0" applyFont="1" applyFill="1" applyBorder="1" applyAlignment="1" applyProtection="1">
      <alignment horizontal="center" vertical="center"/>
      <protection locked="0"/>
    </xf>
    <xf numFmtId="164" fontId="59" fillId="6" borderId="43" xfId="3" applyNumberFormat="1" applyFont="1" applyFill="1" applyBorder="1" applyAlignment="1" applyProtection="1">
      <alignment horizontal="center" vertical="center"/>
      <protection hidden="1"/>
    </xf>
    <xf numFmtId="0" fontId="60" fillId="7" borderId="78" xfId="0" applyFont="1" applyFill="1" applyBorder="1" applyAlignment="1" applyProtection="1">
      <alignment horizontal="center" vertical="center"/>
      <protection locked="0"/>
    </xf>
    <xf numFmtId="0" fontId="58" fillId="6" borderId="11" xfId="2" applyFont="1" applyFill="1" applyBorder="1" applyAlignment="1" applyProtection="1">
      <alignment horizontal="center" vertical="center"/>
      <protection hidden="1"/>
    </xf>
    <xf numFmtId="0" fontId="59" fillId="6" borderId="5" xfId="3" applyFont="1" applyFill="1" applyBorder="1" applyAlignment="1" applyProtection="1">
      <alignment horizontal="left" vertical="center" wrapText="1" indent="2"/>
      <protection hidden="1"/>
    </xf>
    <xf numFmtId="0" fontId="59" fillId="6" borderId="42" xfId="3" applyFont="1" applyFill="1" applyBorder="1" applyAlignment="1" applyProtection="1">
      <alignment horizontal="left" vertical="center" wrapText="1" indent="2"/>
      <protection hidden="1"/>
    </xf>
    <xf numFmtId="3" fontId="59" fillId="6" borderId="4" xfId="3" applyNumberFormat="1" applyFont="1" applyFill="1" applyBorder="1" applyAlignment="1" applyProtection="1">
      <alignment vertical="center"/>
      <protection hidden="1"/>
    </xf>
    <xf numFmtId="3" fontId="59" fillId="6" borderId="66" xfId="3" applyNumberFormat="1" applyFont="1" applyFill="1" applyBorder="1" applyAlignment="1" applyProtection="1">
      <alignment vertical="center"/>
      <protection hidden="1"/>
    </xf>
    <xf numFmtId="3" fontId="59" fillId="6" borderId="43" xfId="3" applyNumberFormat="1" applyFont="1" applyFill="1" applyBorder="1" applyAlignment="1" applyProtection="1">
      <alignment vertical="center"/>
      <protection hidden="1"/>
    </xf>
    <xf numFmtId="3" fontId="59" fillId="6" borderId="82" xfId="3" applyNumberFormat="1" applyFont="1" applyFill="1" applyBorder="1" applyAlignment="1" applyProtection="1">
      <alignment vertical="center"/>
      <protection hidden="1"/>
    </xf>
    <xf numFmtId="0" fontId="10" fillId="6" borderId="88" xfId="2" applyFont="1" applyFill="1" applyBorder="1" applyAlignment="1" applyProtection="1">
      <alignment horizontal="center" vertical="center"/>
      <protection hidden="1"/>
    </xf>
    <xf numFmtId="0" fontId="10" fillId="6" borderId="89" xfId="2" applyFont="1" applyFill="1" applyBorder="1" applyAlignment="1" applyProtection="1">
      <alignment horizontal="center" vertical="center"/>
      <protection hidden="1"/>
    </xf>
    <xf numFmtId="0" fontId="10" fillId="6" borderId="89" xfId="3" applyFont="1" applyFill="1" applyBorder="1" applyAlignment="1" applyProtection="1">
      <alignment horizontal="center" vertical="center"/>
      <protection hidden="1"/>
    </xf>
    <xf numFmtId="0" fontId="10" fillId="6" borderId="88" xfId="3" applyFont="1" applyFill="1" applyBorder="1" applyAlignment="1" applyProtection="1">
      <alignment horizontal="center" vertical="center"/>
      <protection hidden="1"/>
    </xf>
    <xf numFmtId="0" fontId="10" fillId="6" borderId="64" xfId="3" applyFont="1" applyFill="1" applyBorder="1" applyAlignment="1" applyProtection="1">
      <alignment horizontal="center" vertical="center"/>
      <protection hidden="1"/>
    </xf>
    <xf numFmtId="0" fontId="59" fillId="6" borderId="3" xfId="3" applyFont="1" applyFill="1" applyBorder="1" applyAlignment="1" applyProtection="1">
      <alignment horizontal="center" vertical="center"/>
      <protection hidden="1"/>
    </xf>
    <xf numFmtId="0" fontId="61" fillId="0" borderId="0" xfId="0" applyFont="1" applyBorder="1" applyAlignment="1">
      <alignment vertical="center"/>
    </xf>
    <xf numFmtId="0" fontId="60" fillId="6" borderId="11" xfId="3" applyFont="1" applyFill="1" applyBorder="1" applyAlignment="1" applyProtection="1">
      <alignment horizontal="center" vertical="center"/>
      <protection hidden="1"/>
    </xf>
    <xf numFmtId="0" fontId="60" fillId="0" borderId="0" xfId="0" applyFont="1" applyBorder="1" applyAlignment="1" applyProtection="1">
      <alignment horizontal="center" vertical="center"/>
      <protection hidden="1"/>
    </xf>
    <xf numFmtId="0" fontId="60" fillId="6" borderId="0" xfId="3" applyFont="1" applyFill="1" applyBorder="1" applyAlignment="1" applyProtection="1">
      <alignment horizontal="center" vertical="center"/>
      <protection hidden="1"/>
    </xf>
    <xf numFmtId="0" fontId="60" fillId="6" borderId="5" xfId="3" applyFont="1" applyFill="1" applyBorder="1" applyAlignment="1" applyProtection="1">
      <alignment horizontal="left" vertical="center" wrapText="1" indent="4"/>
      <protection hidden="1"/>
    </xf>
    <xf numFmtId="3" fontId="62" fillId="6" borderId="4" xfId="3" applyNumberFormat="1" applyFont="1" applyFill="1" applyBorder="1" applyAlignment="1" applyProtection="1">
      <alignment vertical="center"/>
      <protection hidden="1"/>
    </xf>
    <xf numFmtId="3" fontId="62" fillId="6" borderId="66" xfId="3" applyNumberFormat="1" applyFont="1" applyFill="1" applyBorder="1" applyAlignment="1" applyProtection="1">
      <alignment vertical="center"/>
      <protection hidden="1"/>
    </xf>
    <xf numFmtId="0" fontId="60" fillId="0" borderId="0" xfId="0" applyFont="1" applyBorder="1" applyAlignment="1">
      <alignment vertical="center"/>
    </xf>
    <xf numFmtId="0" fontId="60" fillId="0" borderId="11" xfId="0" applyFont="1" applyBorder="1" applyAlignment="1" applyProtection="1">
      <alignment horizontal="center" vertical="center"/>
      <protection hidden="1"/>
    </xf>
    <xf numFmtId="0" fontId="60" fillId="6" borderId="42" xfId="3" applyFont="1" applyFill="1" applyBorder="1" applyAlignment="1" applyProtection="1">
      <alignment horizontal="left" vertical="center" wrapText="1" indent="4"/>
      <protection hidden="1"/>
    </xf>
    <xf numFmtId="3" fontId="62" fillId="6" borderId="43" xfId="3" applyNumberFormat="1" applyFont="1" applyFill="1" applyBorder="1" applyAlignment="1" applyProtection="1">
      <alignment vertical="center"/>
      <protection hidden="1"/>
    </xf>
    <xf numFmtId="3" fontId="62" fillId="6" borderId="82" xfId="3" applyNumberFormat="1" applyFont="1" applyFill="1" applyBorder="1" applyAlignment="1" applyProtection="1">
      <alignment vertical="center"/>
      <protection hidden="1"/>
    </xf>
    <xf numFmtId="0" fontId="10" fillId="6" borderId="90" xfId="2" applyFont="1" applyFill="1" applyBorder="1" applyAlignment="1" applyProtection="1">
      <alignment horizontal="center" vertical="center"/>
      <protection hidden="1"/>
    </xf>
    <xf numFmtId="0" fontId="10" fillId="6" borderId="91" xfId="2" applyFont="1" applyFill="1" applyBorder="1" applyAlignment="1" applyProtection="1">
      <alignment horizontal="center" vertical="center"/>
      <protection hidden="1"/>
    </xf>
    <xf numFmtId="0" fontId="10" fillId="6" borderId="91" xfId="3" applyFont="1" applyFill="1" applyBorder="1" applyAlignment="1" applyProtection="1">
      <alignment horizontal="center" vertical="center"/>
      <protection hidden="1"/>
    </xf>
    <xf numFmtId="0" fontId="34" fillId="8" borderId="17" xfId="3" applyFont="1" applyFill="1" applyBorder="1" applyAlignment="1" applyProtection="1">
      <alignment horizontal="center" vertical="center"/>
      <protection hidden="1"/>
    </xf>
    <xf numFmtId="0" fontId="34" fillId="8" borderId="16" xfId="2" applyFont="1" applyFill="1" applyBorder="1" applyAlignment="1" applyProtection="1">
      <alignment horizontal="center" vertical="center"/>
      <protection hidden="1"/>
    </xf>
    <xf numFmtId="0" fontId="20" fillId="8" borderId="24" xfId="3" applyFont="1" applyFill="1" applyBorder="1" applyAlignment="1" applyProtection="1">
      <alignment vertical="center" wrapText="1"/>
      <protection hidden="1"/>
    </xf>
    <xf numFmtId="164" fontId="20" fillId="8" borderId="1" xfId="3" applyNumberFormat="1" applyFont="1" applyFill="1" applyBorder="1" applyAlignment="1" applyProtection="1">
      <alignment horizontal="center" vertical="center"/>
      <protection hidden="1"/>
    </xf>
    <xf numFmtId="3" fontId="28" fillId="8" borderId="1" xfId="3" applyNumberFormat="1" applyFont="1" applyFill="1" applyBorder="1" applyAlignment="1" applyProtection="1">
      <alignment vertical="center"/>
      <protection hidden="1"/>
    </xf>
    <xf numFmtId="3" fontId="28" fillId="8" borderId="2" xfId="3" applyNumberFormat="1" applyFont="1" applyFill="1" applyBorder="1" applyAlignment="1" applyProtection="1">
      <alignment vertical="center"/>
      <protection hidden="1"/>
    </xf>
    <xf numFmtId="0" fontId="20" fillId="2" borderId="17" xfId="3" applyFont="1" applyFill="1" applyBorder="1" applyAlignment="1" applyProtection="1">
      <alignment horizontal="center" vertical="center"/>
      <protection hidden="1"/>
    </xf>
    <xf numFmtId="0" fontId="20" fillId="2" borderId="16" xfId="3" applyFont="1" applyFill="1" applyBorder="1" applyAlignment="1" applyProtection="1">
      <alignment horizontal="center" vertical="center"/>
      <protection hidden="1"/>
    </xf>
    <xf numFmtId="0" fontId="31" fillId="2" borderId="16" xfId="3" applyFont="1" applyFill="1" applyBorder="1" applyAlignment="1" applyProtection="1">
      <alignment horizontal="center" vertical="center"/>
      <protection hidden="1"/>
    </xf>
    <xf numFmtId="0" fontId="20" fillId="2" borderId="24" xfId="3" applyFont="1" applyFill="1" applyBorder="1" applyAlignment="1" applyProtection="1">
      <alignment vertical="center" wrapText="1"/>
      <protection hidden="1"/>
    </xf>
    <xf numFmtId="164" fontId="20" fillId="2" borderId="1" xfId="3" applyNumberFormat="1" applyFont="1" applyFill="1" applyBorder="1" applyAlignment="1" applyProtection="1">
      <alignment horizontal="center" vertical="center"/>
      <protection hidden="1"/>
    </xf>
    <xf numFmtId="3" fontId="28" fillId="2" borderId="1" xfId="3" applyNumberFormat="1" applyFont="1" applyFill="1" applyBorder="1" applyAlignment="1" applyProtection="1">
      <alignment vertical="center"/>
      <protection hidden="1"/>
    </xf>
    <xf numFmtId="3" fontId="28" fillId="2" borderId="2" xfId="3" applyNumberFormat="1" applyFont="1" applyFill="1" applyBorder="1" applyAlignment="1" applyProtection="1">
      <alignment vertical="center"/>
      <protection hidden="1"/>
    </xf>
    <xf numFmtId="0" fontId="33" fillId="2" borderId="25" xfId="3" applyFont="1" applyFill="1" applyBorder="1" applyAlignment="1" applyProtection="1">
      <alignment horizontal="center" vertical="center"/>
      <protection hidden="1"/>
    </xf>
    <xf numFmtId="0" fontId="58" fillId="6" borderId="23" xfId="3" applyFont="1" applyFill="1" applyBorder="1" applyAlignment="1" applyProtection="1">
      <alignment horizontal="center" vertical="center"/>
      <protection hidden="1"/>
    </xf>
    <xf numFmtId="0" fontId="58" fillId="6" borderId="13" xfId="2" applyFont="1" applyFill="1" applyBorder="1" applyAlignment="1" applyProtection="1">
      <alignment horizontal="center" vertical="center"/>
      <protection hidden="1"/>
    </xf>
    <xf numFmtId="0" fontId="59" fillId="6" borderId="13" xfId="3" applyFont="1" applyFill="1" applyBorder="1" applyAlignment="1" applyProtection="1">
      <alignment horizontal="center" vertical="center"/>
      <protection hidden="1"/>
    </xf>
    <xf numFmtId="0" fontId="59" fillId="6" borderId="9" xfId="3" applyFont="1" applyFill="1" applyBorder="1" applyAlignment="1" applyProtection="1">
      <alignment horizontal="left" vertical="center" wrapText="1" indent="2"/>
      <protection hidden="1"/>
    </xf>
    <xf numFmtId="164" fontId="59" fillId="6" borderId="8" xfId="3" applyNumberFormat="1" applyFont="1" applyFill="1" applyBorder="1" applyAlignment="1" applyProtection="1">
      <alignment horizontal="center" vertical="center"/>
      <protection hidden="1"/>
    </xf>
    <xf numFmtId="3" fontId="59" fillId="6" borderId="8" xfId="3" applyNumberFormat="1" applyFont="1" applyFill="1" applyBorder="1" applyAlignment="1" applyProtection="1">
      <alignment vertical="center"/>
      <protection hidden="1"/>
    </xf>
    <xf numFmtId="3" fontId="59" fillId="6" borderId="92" xfId="3" applyNumberFormat="1" applyFont="1" applyFill="1" applyBorder="1" applyAlignment="1" applyProtection="1">
      <alignment vertical="center"/>
      <protection hidden="1"/>
    </xf>
    <xf numFmtId="0" fontId="58" fillId="6" borderId="18" xfId="2" applyFont="1" applyFill="1" applyBorder="1" applyAlignment="1" applyProtection="1">
      <alignment horizontal="center" vertical="center"/>
      <protection hidden="1"/>
    </xf>
    <xf numFmtId="0" fontId="58" fillId="6" borderId="12" xfId="2" applyFont="1" applyFill="1" applyBorder="1" applyAlignment="1" applyProtection="1">
      <alignment horizontal="center" vertical="center"/>
      <protection hidden="1"/>
    </xf>
    <xf numFmtId="0" fontId="59" fillId="6" borderId="12" xfId="3" applyFont="1" applyFill="1" applyBorder="1" applyAlignment="1" applyProtection="1">
      <alignment horizontal="center" vertical="center"/>
      <protection hidden="1"/>
    </xf>
    <xf numFmtId="0" fontId="59" fillId="6" borderId="15" xfId="3" applyFont="1" applyFill="1" applyBorder="1" applyAlignment="1" applyProtection="1">
      <alignment horizontal="center" vertical="center"/>
      <protection hidden="1"/>
    </xf>
    <xf numFmtId="0" fontId="58" fillId="6" borderId="18" xfId="3" applyFont="1" applyFill="1" applyBorder="1" applyAlignment="1" applyProtection="1">
      <alignment horizontal="center" vertical="center"/>
      <protection hidden="1"/>
    </xf>
    <xf numFmtId="0" fontId="60" fillId="6" borderId="3" xfId="3" applyFont="1" applyFill="1" applyBorder="1" applyAlignment="1" applyProtection="1">
      <alignment horizontal="center" vertical="center"/>
      <protection hidden="1"/>
    </xf>
    <xf numFmtId="0" fontId="10" fillId="6" borderId="37" xfId="3" applyFont="1" applyFill="1" applyBorder="1" applyAlignment="1" applyProtection="1">
      <alignment horizontal="center" vertical="center"/>
      <protection hidden="1"/>
    </xf>
    <xf numFmtId="0" fontId="10" fillId="6" borderId="93" xfId="2" applyFont="1" applyFill="1" applyBorder="1" applyAlignment="1" applyProtection="1">
      <alignment horizontal="center" vertical="center"/>
      <protection hidden="1"/>
    </xf>
    <xf numFmtId="0" fontId="10" fillId="6" borderId="94" xfId="2" applyFont="1" applyFill="1" applyBorder="1" applyAlignment="1" applyProtection="1">
      <alignment horizontal="center" vertical="center"/>
      <protection hidden="1"/>
    </xf>
    <xf numFmtId="0" fontId="10" fillId="6" borderId="94" xfId="3" applyFont="1" applyFill="1" applyBorder="1" applyAlignment="1" applyProtection="1">
      <alignment horizontal="center" vertical="center"/>
      <protection hidden="1"/>
    </xf>
    <xf numFmtId="0" fontId="10" fillId="6" borderId="48" xfId="3" applyFont="1" applyFill="1" applyBorder="1" applyAlignment="1" applyProtection="1">
      <alignment horizontal="center" vertical="center"/>
      <protection hidden="1"/>
    </xf>
    <xf numFmtId="0" fontId="10" fillId="6" borderId="49" xfId="3" applyFont="1" applyFill="1" applyBorder="1" applyAlignment="1" applyProtection="1">
      <alignment horizontal="center" vertical="center"/>
      <protection hidden="1"/>
    </xf>
    <xf numFmtId="0" fontId="34" fillId="8" borderId="21" xfId="2" applyFont="1" applyFill="1" applyBorder="1" applyAlignment="1" applyProtection="1">
      <alignment horizontal="center" vertical="center"/>
      <protection hidden="1"/>
    </xf>
    <xf numFmtId="3" fontId="28" fillId="8" borderId="21" xfId="3" applyNumberFormat="1" applyFont="1" applyFill="1" applyBorder="1" applyAlignment="1" applyProtection="1">
      <alignment vertical="center"/>
      <protection hidden="1"/>
    </xf>
    <xf numFmtId="3" fontId="28" fillId="8" borderId="72" xfId="3" applyNumberFormat="1" applyFont="1" applyFill="1" applyBorder="1" applyAlignment="1" applyProtection="1">
      <alignment vertical="center"/>
      <protection hidden="1"/>
    </xf>
    <xf numFmtId="3" fontId="28" fillId="2" borderId="26" xfId="3" applyNumberFormat="1" applyFont="1" applyFill="1" applyBorder="1" applyAlignment="1" applyProtection="1">
      <alignment vertical="center"/>
      <protection hidden="1"/>
    </xf>
    <xf numFmtId="3" fontId="28" fillId="2" borderId="52" xfId="3" applyNumberFormat="1" applyFont="1" applyFill="1" applyBorder="1" applyAlignment="1" applyProtection="1">
      <alignment vertical="center"/>
      <protection hidden="1"/>
    </xf>
    <xf numFmtId="0" fontId="10" fillId="0" borderId="86" xfId="3" applyFont="1" applyFill="1" applyBorder="1" applyAlignment="1" applyProtection="1">
      <alignment horizontal="center" vertical="center"/>
      <protection hidden="1"/>
    </xf>
    <xf numFmtId="0" fontId="10" fillId="0" borderId="87" xfId="3" applyFont="1" applyFill="1" applyBorder="1" applyAlignment="1" applyProtection="1">
      <alignment horizontal="center" vertical="center"/>
      <protection hidden="1"/>
    </xf>
    <xf numFmtId="0" fontId="10" fillId="0" borderId="47" xfId="3" applyFont="1" applyFill="1" applyBorder="1" applyAlignment="1" applyProtection="1">
      <alignment horizontal="center" vertical="center"/>
      <protection hidden="1"/>
    </xf>
    <xf numFmtId="0" fontId="10" fillId="0" borderId="93" xfId="3" applyFont="1" applyFill="1" applyBorder="1" applyAlignment="1" applyProtection="1">
      <alignment horizontal="center" vertical="center"/>
      <protection hidden="1"/>
    </xf>
    <xf numFmtId="0" fontId="10" fillId="0" borderId="94" xfId="2" applyFont="1" applyFill="1" applyBorder="1" applyAlignment="1" applyProtection="1">
      <alignment horizontal="center" vertical="center"/>
      <protection hidden="1"/>
    </xf>
    <xf numFmtId="0" fontId="10" fillId="0" borderId="94" xfId="3" applyFont="1" applyFill="1" applyBorder="1" applyAlignment="1" applyProtection="1">
      <alignment horizontal="center" vertical="center"/>
      <protection hidden="1"/>
    </xf>
    <xf numFmtId="0" fontId="10" fillId="0" borderId="48" xfId="3" applyFont="1" applyFill="1" applyBorder="1" applyAlignment="1" applyProtection="1">
      <alignment horizontal="center" vertical="center"/>
      <protection hidden="1"/>
    </xf>
    <xf numFmtId="0" fontId="10" fillId="0" borderId="86" xfId="2" applyFont="1" applyFill="1" applyBorder="1" applyAlignment="1" applyProtection="1">
      <alignment horizontal="center" vertical="center"/>
      <protection hidden="1"/>
    </xf>
    <xf numFmtId="0" fontId="10" fillId="0" borderId="87" xfId="2" applyFont="1" applyFill="1" applyBorder="1" applyAlignment="1" applyProtection="1">
      <alignment horizontal="center" vertical="center"/>
      <protection hidden="1"/>
    </xf>
    <xf numFmtId="0" fontId="58" fillId="0" borderId="11" xfId="2" applyFont="1" applyFill="1" applyBorder="1" applyAlignment="1" applyProtection="1">
      <alignment horizontal="center" vertical="center"/>
      <protection hidden="1"/>
    </xf>
    <xf numFmtId="0" fontId="58" fillId="0" borderId="0" xfId="2" applyFont="1" applyFill="1" applyBorder="1" applyAlignment="1" applyProtection="1">
      <alignment horizontal="center" vertical="center"/>
      <protection hidden="1"/>
    </xf>
    <xf numFmtId="0" fontId="59" fillId="0" borderId="0" xfId="3" applyFont="1" applyFill="1" applyBorder="1" applyAlignment="1" applyProtection="1">
      <alignment horizontal="center" vertical="center"/>
      <protection hidden="1"/>
    </xf>
    <xf numFmtId="0" fontId="58" fillId="0" borderId="11" xfId="3" applyFont="1" applyFill="1" applyBorder="1" applyAlignment="1" applyProtection="1">
      <alignment horizontal="center" vertical="center"/>
      <protection hidden="1"/>
    </xf>
    <xf numFmtId="0" fontId="58" fillId="0" borderId="0" xfId="3" applyFont="1" applyFill="1" applyBorder="1" applyAlignment="1" applyProtection="1">
      <alignment horizontal="center" vertical="center"/>
      <protection hidden="1"/>
    </xf>
    <xf numFmtId="0" fontId="10" fillId="0" borderId="88" xfId="2" applyFont="1" applyFill="1" applyBorder="1" applyAlignment="1" applyProtection="1">
      <alignment horizontal="center" vertical="center"/>
      <protection hidden="1"/>
    </xf>
    <xf numFmtId="0" fontId="10" fillId="0" borderId="89" xfId="2" applyFont="1" applyFill="1" applyBorder="1" applyAlignment="1" applyProtection="1">
      <alignment horizontal="center" vertical="center"/>
      <protection hidden="1"/>
    </xf>
    <xf numFmtId="0" fontId="10" fillId="0" borderId="89" xfId="3" applyFont="1" applyFill="1" applyBorder="1" applyAlignment="1" applyProtection="1">
      <alignment horizontal="center" vertical="center"/>
      <protection hidden="1"/>
    </xf>
    <xf numFmtId="0" fontId="10" fillId="0" borderId="64" xfId="3" applyFont="1" applyFill="1" applyBorder="1" applyAlignment="1" applyProtection="1">
      <alignment horizontal="center" vertical="center"/>
      <protection hidden="1"/>
    </xf>
    <xf numFmtId="0" fontId="59" fillId="6" borderId="5" xfId="3" applyFont="1" applyFill="1" applyBorder="1" applyAlignment="1" applyProtection="1">
      <alignment vertical="center" wrapText="1"/>
      <protection hidden="1"/>
    </xf>
    <xf numFmtId="0" fontId="59" fillId="0" borderId="5" xfId="3" applyFont="1" applyFill="1" applyBorder="1" applyAlignment="1" applyProtection="1">
      <alignment vertical="center" wrapText="1"/>
      <protection hidden="1"/>
    </xf>
    <xf numFmtId="164" fontId="59" fillId="0" borderId="4" xfId="3" applyNumberFormat="1" applyFont="1" applyFill="1" applyBorder="1" applyAlignment="1" applyProtection="1">
      <alignment horizontal="center" vertical="center"/>
      <protection hidden="1"/>
    </xf>
    <xf numFmtId="0" fontId="59" fillId="2" borderId="78" xfId="0" applyFont="1" applyFill="1" applyBorder="1" applyAlignment="1">
      <alignment vertical="center"/>
    </xf>
    <xf numFmtId="0" fontId="59" fillId="0" borderId="11" xfId="3" applyFont="1" applyFill="1" applyBorder="1" applyAlignment="1" applyProtection="1">
      <alignment horizontal="center" vertical="center"/>
      <protection hidden="1"/>
    </xf>
    <xf numFmtId="0" fontId="59" fillId="0" borderId="42" xfId="3" applyFont="1" applyFill="1" applyBorder="1" applyAlignment="1" applyProtection="1">
      <alignment vertical="center" wrapText="1"/>
      <protection hidden="1"/>
    </xf>
    <xf numFmtId="164" fontId="59" fillId="0" borderId="43" xfId="3" applyNumberFormat="1" applyFont="1" applyFill="1" applyBorder="1" applyAlignment="1" applyProtection="1">
      <alignment horizontal="center" vertical="center"/>
      <protection hidden="1"/>
    </xf>
    <xf numFmtId="0" fontId="20" fillId="2" borderId="26" xfId="3" applyFont="1" applyFill="1" applyBorder="1" applyAlignment="1" applyProtection="1">
      <alignment horizontal="center" vertical="center"/>
      <protection hidden="1"/>
    </xf>
    <xf numFmtId="0" fontId="20" fillId="8" borderId="17" xfId="3" applyFont="1" applyFill="1" applyBorder="1" applyAlignment="1" applyProtection="1">
      <alignment horizontal="center" vertical="center"/>
      <protection hidden="1"/>
    </xf>
    <xf numFmtId="0" fontId="20" fillId="8" borderId="16" xfId="2" applyFont="1" applyFill="1" applyBorder="1" applyAlignment="1" applyProtection="1">
      <alignment horizontal="center" vertical="center"/>
      <protection hidden="1"/>
    </xf>
    <xf numFmtId="0" fontId="20" fillId="8" borderId="21" xfId="2" applyFont="1" applyFill="1" applyBorder="1" applyAlignment="1" applyProtection="1">
      <alignment horizontal="center" vertical="center"/>
      <protection hidden="1"/>
    </xf>
    <xf numFmtId="0" fontId="59" fillId="0" borderId="0" xfId="2" applyFont="1" applyFill="1" applyBorder="1" applyAlignment="1" applyProtection="1">
      <alignment horizontal="center" vertical="center"/>
      <protection hidden="1"/>
    </xf>
    <xf numFmtId="0" fontId="59" fillId="7" borderId="76" xfId="0" applyFont="1" applyFill="1" applyBorder="1" applyAlignment="1" applyProtection="1">
      <alignment horizontal="center" vertical="center"/>
      <protection locked="0"/>
    </xf>
    <xf numFmtId="0" fontId="10" fillId="0" borderId="88" xfId="3" applyFont="1" applyFill="1" applyBorder="1" applyAlignment="1" applyProtection="1">
      <alignment horizontal="center" vertical="center"/>
      <protection hidden="1"/>
    </xf>
    <xf numFmtId="0" fontId="10" fillId="0" borderId="91" xfId="3" applyFont="1" applyFill="1" applyBorder="1" applyAlignment="1" applyProtection="1">
      <alignment horizontal="center" vertical="center"/>
      <protection hidden="1"/>
    </xf>
    <xf numFmtId="0" fontId="10" fillId="0" borderId="49" xfId="3" applyFont="1" applyFill="1" applyBorder="1" applyAlignment="1" applyProtection="1">
      <alignment horizontal="center" vertical="center"/>
      <protection hidden="1"/>
    </xf>
    <xf numFmtId="0" fontId="10" fillId="0" borderId="34" xfId="3" applyFont="1" applyFill="1" applyBorder="1" applyAlignment="1" applyProtection="1">
      <alignment vertical="center" wrapText="1"/>
      <protection hidden="1"/>
    </xf>
    <xf numFmtId="0" fontId="10" fillId="0" borderId="90" xfId="3" applyFont="1" applyFill="1" applyBorder="1" applyAlignment="1" applyProtection="1">
      <alignment horizontal="center" vertical="center"/>
      <protection hidden="1"/>
    </xf>
    <xf numFmtId="0" fontId="20" fillId="7" borderId="57" xfId="3" applyFont="1" applyFill="1" applyBorder="1" applyAlignment="1" applyProtection="1">
      <alignment horizontal="center" vertical="center"/>
      <protection hidden="1"/>
    </xf>
    <xf numFmtId="0" fontId="20" fillId="7" borderId="58" xfId="3" applyFont="1" applyFill="1" applyBorder="1" applyAlignment="1" applyProtection="1">
      <alignment horizontal="center" vertical="center"/>
      <protection hidden="1"/>
    </xf>
    <xf numFmtId="0" fontId="20" fillId="7" borderId="59" xfId="3" applyFont="1" applyFill="1" applyBorder="1" applyAlignment="1" applyProtection="1">
      <alignment horizontal="center" vertical="center"/>
      <protection hidden="1"/>
    </xf>
    <xf numFmtId="0" fontId="20" fillId="7" borderId="60" xfId="3" applyFont="1" applyFill="1" applyBorder="1" applyAlignment="1" applyProtection="1">
      <alignment vertical="center" wrapText="1"/>
      <protection hidden="1"/>
    </xf>
    <xf numFmtId="164" fontId="20" fillId="7" borderId="41" xfId="3" applyNumberFormat="1" applyFont="1" applyFill="1" applyBorder="1" applyAlignment="1" applyProtection="1">
      <alignment horizontal="center" vertical="center"/>
      <protection hidden="1"/>
    </xf>
    <xf numFmtId="3" fontId="28" fillId="7" borderId="59" xfId="3" applyNumberFormat="1" applyFont="1" applyFill="1" applyBorder="1" applyAlignment="1" applyProtection="1">
      <alignment vertical="center"/>
      <protection hidden="1"/>
    </xf>
    <xf numFmtId="3" fontId="28" fillId="7" borderId="61" xfId="3" applyNumberFormat="1" applyFont="1" applyFill="1" applyBorder="1" applyAlignment="1" applyProtection="1">
      <alignment vertical="center"/>
      <protection hidden="1"/>
    </xf>
    <xf numFmtId="165" fontId="63" fillId="0" borderId="0" xfId="0" applyNumberFormat="1" applyFont="1" applyFill="1" applyAlignment="1">
      <alignment horizontal="center" vertical="top"/>
    </xf>
    <xf numFmtId="0" fontId="63" fillId="0" borderId="0" xfId="0" applyFont="1" applyFill="1" applyAlignment="1">
      <alignment horizontal="center" vertical="top"/>
    </xf>
    <xf numFmtId="0" fontId="64" fillId="0" borderId="0" xfId="0" applyFont="1" applyAlignment="1">
      <alignment vertical="top"/>
    </xf>
    <xf numFmtId="0" fontId="65" fillId="0" borderId="0" xfId="0" applyFont="1" applyAlignment="1">
      <alignment vertical="top"/>
    </xf>
    <xf numFmtId="0" fontId="12" fillId="3" borderId="0" xfId="0" applyNumberFormat="1" applyFont="1" applyFill="1" applyAlignment="1">
      <alignment horizontal="center" vertical="top"/>
    </xf>
    <xf numFmtId="0" fontId="63" fillId="0" borderId="0" xfId="0" applyNumberFormat="1" applyFont="1" applyFill="1" applyAlignment="1">
      <alignment horizontal="center" vertical="top"/>
    </xf>
    <xf numFmtId="0" fontId="22" fillId="0" borderId="0" xfId="2" applyFont="1" applyFill="1" applyBorder="1" applyAlignment="1" applyProtection="1">
      <alignment vertical="top"/>
      <protection hidden="1"/>
    </xf>
    <xf numFmtId="0" fontId="22" fillId="0" borderId="0" xfId="2" applyFont="1" applyFill="1" applyBorder="1" applyAlignment="1" applyProtection="1">
      <alignment vertical="center"/>
      <protection hidden="1"/>
    </xf>
    <xf numFmtId="0" fontId="22" fillId="6" borderId="0" xfId="2" applyFont="1" applyFill="1" applyBorder="1" applyAlignment="1" applyProtection="1">
      <alignment horizontal="center" vertical="center"/>
      <protection hidden="1"/>
    </xf>
    <xf numFmtId="0" fontId="22" fillId="6" borderId="3" xfId="2" applyFont="1" applyFill="1" applyBorder="1" applyAlignment="1" applyProtection="1">
      <alignment horizontal="center" vertical="center"/>
      <protection hidden="1"/>
    </xf>
    <xf numFmtId="0" fontId="20" fillId="8" borderId="59" xfId="2" applyFont="1" applyFill="1" applyBorder="1" applyAlignment="1" applyProtection="1">
      <alignment horizontal="center" vertical="center"/>
      <protection hidden="1"/>
    </xf>
    <xf numFmtId="0" fontId="10" fillId="0" borderId="5" xfId="3" applyFont="1" applyFill="1" applyBorder="1" applyAlignment="1" applyProtection="1">
      <alignment vertical="center" wrapText="1"/>
      <protection hidden="1"/>
    </xf>
    <xf numFmtId="165" fontId="10" fillId="0" borderId="4" xfId="3" applyNumberFormat="1" applyFont="1" applyFill="1" applyBorder="1" applyAlignment="1" applyProtection="1">
      <alignment horizontal="center" vertical="center"/>
      <protection hidden="1"/>
    </xf>
    <xf numFmtId="3" fontId="29" fillId="0" borderId="3" xfId="3" applyNumberFormat="1" applyFont="1" applyFill="1" applyBorder="1" applyAlignment="1" applyProtection="1">
      <alignment vertical="center"/>
      <protection hidden="1"/>
    </xf>
    <xf numFmtId="3" fontId="29" fillId="0" borderId="67" xfId="3" applyNumberFormat="1" applyFont="1" applyFill="1" applyBorder="1" applyAlignment="1" applyProtection="1">
      <alignment vertical="center"/>
      <protection hidden="1"/>
    </xf>
    <xf numFmtId="0" fontId="10" fillId="0" borderId="12" xfId="3" applyFont="1" applyFill="1" applyBorder="1" applyAlignment="1" applyProtection="1">
      <alignment horizontal="center" vertical="center"/>
      <protection hidden="1"/>
    </xf>
    <xf numFmtId="0" fontId="10" fillId="0" borderId="95" xfId="3" applyFont="1" applyFill="1" applyBorder="1" applyAlignment="1" applyProtection="1">
      <alignment vertical="center" wrapText="1"/>
      <protection hidden="1"/>
    </xf>
    <xf numFmtId="165" fontId="10" fillId="0" borderId="38" xfId="3" applyNumberFormat="1" applyFont="1" applyFill="1" applyBorder="1" applyAlignment="1" applyProtection="1">
      <alignment horizontal="center" vertical="center"/>
      <protection hidden="1"/>
    </xf>
    <xf numFmtId="3" fontId="29" fillId="0" borderId="15" xfId="3" applyNumberFormat="1" applyFont="1" applyFill="1" applyBorder="1" applyAlignment="1" applyProtection="1">
      <alignment vertical="center"/>
      <protection hidden="1"/>
    </xf>
    <xf numFmtId="3" fontId="29" fillId="0" borderId="81" xfId="3" applyNumberFormat="1" applyFont="1" applyFill="1" applyBorder="1" applyAlignment="1" applyProtection="1">
      <alignment vertical="center"/>
      <protection hidden="1"/>
    </xf>
    <xf numFmtId="0" fontId="57" fillId="0" borderId="0" xfId="0" applyFont="1" applyAlignment="1">
      <alignment vertical="center"/>
    </xf>
    <xf numFmtId="165" fontId="59" fillId="0" borderId="4" xfId="3" applyNumberFormat="1" applyFont="1" applyFill="1" applyBorder="1" applyAlignment="1" applyProtection="1">
      <alignment horizontal="center" vertical="center"/>
      <protection hidden="1"/>
    </xf>
    <xf numFmtId="0" fontId="59" fillId="0" borderId="0" xfId="0" applyFont="1" applyAlignment="1">
      <alignment vertical="center"/>
    </xf>
    <xf numFmtId="0" fontId="60" fillId="7" borderId="68" xfId="0" applyFont="1" applyFill="1" applyBorder="1" applyAlignment="1" applyProtection="1">
      <alignment horizontal="center" vertical="center"/>
      <protection locked="0"/>
    </xf>
    <xf numFmtId="0" fontId="59" fillId="0" borderId="12" xfId="3" applyFont="1" applyFill="1" applyBorder="1" applyAlignment="1" applyProtection="1">
      <alignment horizontal="center" vertical="center"/>
      <protection hidden="1"/>
    </xf>
    <xf numFmtId="165" fontId="59" fillId="0" borderId="38" xfId="3" applyNumberFormat="1" applyFont="1" applyFill="1" applyBorder="1" applyAlignment="1" applyProtection="1">
      <alignment horizontal="center" vertical="center"/>
      <protection hidden="1"/>
    </xf>
    <xf numFmtId="0" fontId="59" fillId="0" borderId="5" xfId="3" applyFont="1" applyFill="1" applyBorder="1" applyAlignment="1" applyProtection="1">
      <alignment horizontal="left" vertical="center" wrapText="1" indent="2"/>
      <protection hidden="1"/>
    </xf>
    <xf numFmtId="0" fontId="59" fillId="0" borderId="95" xfId="3" applyFont="1" applyFill="1" applyBorder="1" applyAlignment="1" applyProtection="1">
      <alignment horizontal="left" vertical="center" wrapText="1" indent="2"/>
      <protection hidden="1"/>
    </xf>
    <xf numFmtId="0" fontId="21" fillId="0" borderId="0" xfId="2" applyFont="1" applyFill="1" applyBorder="1" applyAlignment="1" applyProtection="1">
      <alignment horizontal="left"/>
      <protection hidden="1"/>
    </xf>
    <xf numFmtId="0" fontId="19" fillId="0" borderId="0" xfId="0" applyFont="1" applyFill="1" applyBorder="1" applyAlignment="1" applyProtection="1">
      <alignment horizontal="left" vertic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0" fontId="22" fillId="0" borderId="0" xfId="2" applyFont="1" applyFill="1" applyBorder="1" applyAlignment="1" applyProtection="1">
      <alignment horizontal="left"/>
      <protection hidden="1"/>
    </xf>
    <xf numFmtId="0" fontId="22" fillId="6" borderId="11" xfId="2" applyFont="1" applyFill="1" applyBorder="1" applyAlignment="1" applyProtection="1">
      <alignment horizontal="left" vertical="center"/>
      <protection hidden="1"/>
    </xf>
    <xf numFmtId="0" fontId="10" fillId="0" borderId="11" xfId="3" applyFont="1" applyFill="1" applyBorder="1" applyAlignment="1" applyProtection="1">
      <alignment horizontal="left" vertical="center"/>
      <protection hidden="1"/>
    </xf>
    <xf numFmtId="0" fontId="10" fillId="0" borderId="18" xfId="3" applyFont="1" applyFill="1" applyBorder="1" applyAlignment="1" applyProtection="1">
      <alignment horizontal="left" vertical="center"/>
      <protection hidden="1"/>
    </xf>
    <xf numFmtId="0" fontId="59" fillId="0" borderId="11" xfId="3" applyFont="1" applyFill="1" applyBorder="1" applyAlignment="1" applyProtection="1">
      <alignment horizontal="left" vertical="center"/>
      <protection hidden="1"/>
    </xf>
    <xf numFmtId="0" fontId="59" fillId="0" borderId="18" xfId="3" applyFont="1" applyFill="1" applyBorder="1" applyAlignment="1" applyProtection="1">
      <alignment horizontal="left" vertical="center"/>
      <protection hidden="1"/>
    </xf>
    <xf numFmtId="0" fontId="20" fillId="8" borderId="57" xfId="3" applyFont="1" applyFill="1" applyBorder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20" fillId="2" borderId="57" xfId="3" applyFont="1" applyFill="1" applyBorder="1" applyAlignment="1" applyProtection="1">
      <alignment horizontal="left" vertical="center"/>
      <protection hidden="1"/>
    </xf>
    <xf numFmtId="0" fontId="20" fillId="2" borderId="58" xfId="2" applyFont="1" applyFill="1" applyBorder="1" applyAlignment="1" applyProtection="1">
      <alignment horizontal="center" vertical="center"/>
      <protection hidden="1"/>
    </xf>
    <xf numFmtId="0" fontId="20" fillId="2" borderId="59" xfId="2" applyFont="1" applyFill="1" applyBorder="1" applyAlignment="1" applyProtection="1">
      <alignment horizontal="center" vertical="center"/>
      <protection hidden="1"/>
    </xf>
    <xf numFmtId="0" fontId="20" fillId="2" borderId="60" xfId="3" applyFont="1" applyFill="1" applyBorder="1" applyAlignment="1" applyProtection="1">
      <alignment vertical="center" wrapText="1"/>
      <protection hidden="1"/>
    </xf>
    <xf numFmtId="165" fontId="20" fillId="2" borderId="41" xfId="3" applyNumberFormat="1" applyFont="1" applyFill="1" applyBorder="1" applyAlignment="1" applyProtection="1">
      <alignment horizontal="center" vertical="center"/>
      <protection hidden="1"/>
    </xf>
    <xf numFmtId="3" fontId="28" fillId="2" borderId="59" xfId="3" applyNumberFormat="1" applyFont="1" applyFill="1" applyBorder="1" applyAlignment="1" applyProtection="1">
      <alignment vertical="center"/>
      <protection hidden="1"/>
    </xf>
    <xf numFmtId="3" fontId="28" fillId="2" borderId="61" xfId="3" applyNumberFormat="1" applyFont="1" applyFill="1" applyBorder="1" applyAlignment="1" applyProtection="1">
      <alignment vertical="center"/>
      <protection hidden="1"/>
    </xf>
    <xf numFmtId="0" fontId="39" fillId="0" borderId="0" xfId="0" applyFont="1" applyAlignment="1">
      <alignment horizontal="left"/>
    </xf>
    <xf numFmtId="0" fontId="20" fillId="0" borderId="57" xfId="3" applyFont="1" applyFill="1" applyBorder="1" applyAlignment="1" applyProtection="1">
      <alignment horizontal="left"/>
      <protection hidden="1"/>
    </xf>
    <xf numFmtId="0" fontId="20" fillId="0" borderId="58" xfId="2" applyFont="1" applyFill="1" applyBorder="1" applyAlignment="1" applyProtection="1">
      <alignment horizontal="center"/>
      <protection hidden="1"/>
    </xf>
    <xf numFmtId="0" fontId="20" fillId="0" borderId="59" xfId="2" applyFont="1" applyFill="1" applyBorder="1" applyAlignment="1" applyProtection="1">
      <alignment horizontal="center"/>
      <protection hidden="1"/>
    </xf>
    <xf numFmtId="0" fontId="20" fillId="0" borderId="60" xfId="3" applyFont="1" applyFill="1" applyBorder="1" applyAlignment="1" applyProtection="1">
      <alignment wrapText="1"/>
      <protection hidden="1"/>
    </xf>
    <xf numFmtId="165" fontId="20" fillId="0" borderId="41" xfId="3" applyNumberFormat="1" applyFont="1" applyFill="1" applyBorder="1" applyAlignment="1" applyProtection="1">
      <alignment horizontal="center"/>
      <protection hidden="1"/>
    </xf>
    <xf numFmtId="3" fontId="28" fillId="0" borderId="59" xfId="3" applyNumberFormat="1" applyFont="1" applyFill="1" applyBorder="1" applyAlignment="1" applyProtection="1">
      <protection hidden="1"/>
    </xf>
    <xf numFmtId="3" fontId="28" fillId="0" borderId="61" xfId="3" applyNumberFormat="1" applyFont="1" applyFill="1" applyBorder="1" applyAlignment="1" applyProtection="1">
      <protection hidden="1"/>
    </xf>
    <xf numFmtId="0" fontId="10" fillId="2" borderId="68" xfId="0" applyFont="1" applyFill="1" applyBorder="1" applyAlignment="1"/>
    <xf numFmtId="0" fontId="10" fillId="7" borderId="14" xfId="3" applyFont="1" applyFill="1" applyBorder="1" applyAlignment="1" applyProtection="1">
      <alignment horizontal="left" vertical="center"/>
      <protection hidden="1"/>
    </xf>
    <xf numFmtId="0" fontId="10" fillId="7" borderId="25" xfId="2" applyFont="1" applyFill="1" applyBorder="1" applyAlignment="1" applyProtection="1">
      <alignment horizontal="center" vertical="center"/>
      <protection hidden="1"/>
    </xf>
    <xf numFmtId="0" fontId="10" fillId="7" borderId="26" xfId="2" applyFont="1" applyFill="1" applyBorder="1" applyAlignment="1" applyProtection="1">
      <alignment horizontal="center" vertical="center"/>
      <protection hidden="1"/>
    </xf>
    <xf numFmtId="0" fontId="10" fillId="7" borderId="27" xfId="3" applyFont="1" applyFill="1" applyBorder="1" applyAlignment="1" applyProtection="1">
      <alignment vertical="center" wrapText="1"/>
      <protection hidden="1"/>
    </xf>
    <xf numFmtId="165" fontId="10" fillId="7" borderId="10" xfId="3" applyNumberFormat="1" applyFont="1" applyFill="1" applyBorder="1" applyAlignment="1" applyProtection="1">
      <alignment horizontal="center" vertical="center"/>
      <protection hidden="1"/>
    </xf>
    <xf numFmtId="3" fontId="29" fillId="7" borderId="26" xfId="3" applyNumberFormat="1" applyFont="1" applyFill="1" applyBorder="1" applyAlignment="1" applyProtection="1">
      <alignment vertical="center"/>
      <protection hidden="1"/>
    </xf>
    <xf numFmtId="3" fontId="29" fillId="7" borderId="52" xfId="3" applyNumberFormat="1" applyFont="1" applyFill="1" applyBorder="1" applyAlignment="1" applyProtection="1">
      <alignment vertical="center"/>
      <protection hidden="1"/>
    </xf>
    <xf numFmtId="0" fontId="10" fillId="7" borderId="19" xfId="3" applyFont="1" applyFill="1" applyBorder="1" applyAlignment="1" applyProtection="1">
      <alignment horizontal="left" vertical="center"/>
      <protection hidden="1"/>
    </xf>
    <xf numFmtId="0" fontId="10" fillId="7" borderId="20" xfId="3" applyFont="1" applyFill="1" applyBorder="1" applyAlignment="1" applyProtection="1">
      <alignment horizontal="center" vertical="center"/>
      <protection hidden="1"/>
    </xf>
    <xf numFmtId="0" fontId="10" fillId="7" borderId="37" xfId="3" applyFont="1" applyFill="1" applyBorder="1" applyAlignment="1" applyProtection="1">
      <alignment horizontal="center" vertical="center"/>
      <protection hidden="1"/>
    </xf>
    <xf numFmtId="0" fontId="10" fillId="7" borderId="44" xfId="3" applyFont="1" applyFill="1" applyBorder="1" applyAlignment="1" applyProtection="1">
      <alignment vertical="center" wrapText="1"/>
      <protection hidden="1"/>
    </xf>
    <xf numFmtId="165" fontId="10" fillId="7" borderId="39" xfId="3" applyNumberFormat="1" applyFont="1" applyFill="1" applyBorder="1" applyAlignment="1" applyProtection="1">
      <alignment horizontal="center" vertical="center"/>
      <protection hidden="1"/>
    </xf>
    <xf numFmtId="3" fontId="29" fillId="7" borderId="37" xfId="3" applyNumberFormat="1" applyFont="1" applyFill="1" applyBorder="1" applyAlignment="1" applyProtection="1">
      <alignment vertical="center"/>
      <protection hidden="1"/>
    </xf>
    <xf numFmtId="3" fontId="29" fillId="7" borderId="50" xfId="3" applyNumberFormat="1" applyFont="1" applyFill="1" applyBorder="1" applyAlignment="1" applyProtection="1">
      <alignment vertical="center"/>
      <protection hidden="1"/>
    </xf>
    <xf numFmtId="0" fontId="10" fillId="7" borderId="83" xfId="3" applyFont="1" applyFill="1" applyBorder="1" applyAlignment="1" applyProtection="1">
      <alignment horizontal="left" vertical="center"/>
      <protection hidden="1"/>
    </xf>
    <xf numFmtId="0" fontId="10" fillId="7" borderId="84" xfId="3" applyFont="1" applyFill="1" applyBorder="1" applyAlignment="1" applyProtection="1">
      <alignment horizontal="center" vertical="center"/>
      <protection hidden="1"/>
    </xf>
    <xf numFmtId="0" fontId="10" fillId="7" borderId="45" xfId="3" applyFont="1" applyFill="1" applyBorder="1" applyAlignment="1" applyProtection="1">
      <alignment horizontal="center" vertical="center"/>
      <protection hidden="1"/>
    </xf>
    <xf numFmtId="0" fontId="10" fillId="7" borderId="28" xfId="3" applyFont="1" applyFill="1" applyBorder="1" applyAlignment="1" applyProtection="1">
      <alignment vertical="center" wrapText="1"/>
      <protection hidden="1"/>
    </xf>
    <xf numFmtId="165" fontId="10" fillId="7" borderId="29" xfId="3" applyNumberFormat="1" applyFont="1" applyFill="1" applyBorder="1" applyAlignment="1" applyProtection="1">
      <alignment horizontal="center" vertical="center"/>
      <protection hidden="1"/>
    </xf>
    <xf numFmtId="3" fontId="29" fillId="7" borderId="45" xfId="3" applyNumberFormat="1" applyFont="1" applyFill="1" applyBorder="1" applyAlignment="1" applyProtection="1">
      <alignment vertical="center"/>
      <protection hidden="1"/>
    </xf>
    <xf numFmtId="3" fontId="29" fillId="7" borderId="53" xfId="3" applyNumberFormat="1" applyFont="1" applyFill="1" applyBorder="1" applyAlignment="1" applyProtection="1">
      <alignment vertical="center"/>
      <protection hidden="1"/>
    </xf>
    <xf numFmtId="0" fontId="66" fillId="7" borderId="0" xfId="1" applyNumberFormat="1" applyFont="1" applyFill="1" applyAlignment="1" applyProtection="1">
      <alignment horizontal="center"/>
      <protection locked="0"/>
    </xf>
    <xf numFmtId="14" fontId="66" fillId="0" borderId="0" xfId="1" applyNumberFormat="1" applyFont="1" applyFill="1" applyProtection="1">
      <protection locked="0"/>
    </xf>
    <xf numFmtId="0" fontId="66" fillId="0" borderId="0" xfId="1" applyFont="1" applyFill="1" applyProtection="1">
      <protection locked="0"/>
    </xf>
    <xf numFmtId="3" fontId="66" fillId="0" borderId="0" xfId="1" applyNumberFormat="1" applyFont="1" applyFill="1" applyProtection="1">
      <protection locked="0"/>
    </xf>
    <xf numFmtId="4" fontId="66" fillId="0" borderId="0" xfId="1" applyNumberFormat="1" applyFont="1" applyFill="1" applyAlignment="1" applyProtection="1">
      <alignment horizontal="right"/>
      <protection locked="0"/>
    </xf>
    <xf numFmtId="164" fontId="67" fillId="7" borderId="0" xfId="1" applyNumberFormat="1" applyFont="1" applyFill="1" applyAlignment="1"/>
    <xf numFmtId="164" fontId="67" fillId="7" borderId="0" xfId="1" applyNumberFormat="1" applyFont="1" applyFill="1" applyAlignment="1">
      <alignment horizontal="center"/>
    </xf>
    <xf numFmtId="164" fontId="67" fillId="7" borderId="0" xfId="1" applyNumberFormat="1" applyFont="1" applyFill="1" applyAlignment="1">
      <alignment horizontal="left"/>
    </xf>
    <xf numFmtId="164" fontId="66" fillId="5" borderId="0" xfId="1" applyNumberFormat="1" applyFont="1" applyFill="1" applyAlignment="1" applyProtection="1">
      <alignment horizontal="center"/>
      <protection locked="0"/>
    </xf>
    <xf numFmtId="164" fontId="68" fillId="7" borderId="0" xfId="1" applyNumberFormat="1" applyFont="1" applyFill="1" applyAlignment="1">
      <alignment horizontal="center"/>
    </xf>
    <xf numFmtId="0" fontId="67" fillId="7" borderId="0" xfId="1" applyNumberFormat="1" applyFont="1" applyFill="1" applyAlignment="1">
      <alignment horizontal="center"/>
    </xf>
    <xf numFmtId="0" fontId="67" fillId="7" borderId="0" xfId="1" applyNumberFormat="1" applyFont="1" applyFill="1" applyAlignment="1"/>
    <xf numFmtId="0" fontId="69" fillId="6" borderId="11" xfId="3" applyFont="1" applyFill="1" applyBorder="1" applyAlignment="1" applyProtection="1">
      <alignment horizontal="center" vertical="center"/>
      <protection hidden="1"/>
    </xf>
    <xf numFmtId="0" fontId="69" fillId="6" borderId="0" xfId="2" applyFont="1" applyFill="1" applyBorder="1" applyAlignment="1" applyProtection="1">
      <alignment horizontal="center" vertical="center"/>
      <protection hidden="1"/>
    </xf>
    <xf numFmtId="0" fontId="69" fillId="0" borderId="0" xfId="0" applyFont="1" applyBorder="1" applyAlignment="1" applyProtection="1">
      <alignment horizontal="center" vertical="center"/>
      <protection hidden="1"/>
    </xf>
    <xf numFmtId="0" fontId="69" fillId="6" borderId="0" xfId="3" applyFont="1" applyFill="1" applyBorder="1" applyAlignment="1" applyProtection="1">
      <alignment horizontal="center" vertical="center"/>
      <protection hidden="1"/>
    </xf>
    <xf numFmtId="3" fontId="60" fillId="6" borderId="4" xfId="3" applyNumberFormat="1" applyFont="1" applyFill="1" applyBorder="1" applyAlignment="1" applyProtection="1">
      <alignment vertical="center"/>
      <protection hidden="1"/>
    </xf>
    <xf numFmtId="3" fontId="60" fillId="6" borderId="66" xfId="3" applyNumberFormat="1" applyFont="1" applyFill="1" applyBorder="1" applyAlignment="1" applyProtection="1">
      <alignment vertical="center"/>
      <protection hidden="1"/>
    </xf>
    <xf numFmtId="0" fontId="13" fillId="0" borderId="0" xfId="0" applyFont="1" applyAlignment="1">
      <alignment horizontal="center" vertical="top"/>
    </xf>
    <xf numFmtId="0" fontId="13" fillId="11" borderId="0" xfId="0" applyFont="1" applyFill="1" applyAlignment="1">
      <alignment horizontal="center" vertical="top"/>
    </xf>
    <xf numFmtId="0" fontId="13" fillId="10" borderId="0" xfId="0" applyFont="1" applyFill="1" applyAlignment="1">
      <alignment horizontal="center" vertical="top"/>
    </xf>
    <xf numFmtId="20" fontId="13" fillId="0" borderId="0" xfId="0" applyNumberFormat="1" applyFont="1" applyAlignment="1">
      <alignment horizontal="center" vertical="top"/>
    </xf>
    <xf numFmtId="164" fontId="13" fillId="10" borderId="0" xfId="0" applyNumberFormat="1" applyFont="1" applyFill="1" applyAlignment="1">
      <alignment horizontal="center" vertical="top"/>
    </xf>
    <xf numFmtId="164" fontId="13" fillId="11" borderId="0" xfId="0" applyNumberFormat="1" applyFont="1" applyFill="1" applyAlignment="1">
      <alignment horizontal="center" vertical="top"/>
    </xf>
    <xf numFmtId="20" fontId="13" fillId="11" borderId="0" xfId="0" applyNumberFormat="1" applyFont="1" applyFill="1" applyAlignment="1">
      <alignment horizontal="center" vertical="top"/>
    </xf>
    <xf numFmtId="0" fontId="49" fillId="0" borderId="0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left"/>
    </xf>
    <xf numFmtId="0" fontId="70" fillId="0" borderId="0" xfId="2" applyFont="1" applyFill="1" applyBorder="1" applyAlignment="1">
      <alignment horizontal="left"/>
    </xf>
    <xf numFmtId="0" fontId="49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71" fillId="0" borderId="0" xfId="2" applyFont="1" applyFill="1" applyBorder="1" applyAlignment="1">
      <alignment horizontal="left" vertical="top"/>
    </xf>
    <xf numFmtId="0" fontId="71" fillId="0" borderId="0" xfId="2" applyFont="1" applyFill="1" applyBorder="1" applyAlignment="1">
      <alignment horizontal="left" vertical="center"/>
    </xf>
    <xf numFmtId="0" fontId="49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left" vertical="center"/>
    </xf>
    <xf numFmtId="0" fontId="70" fillId="0" borderId="0" xfId="2" applyFont="1" applyFill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70" fillId="0" borderId="0" xfId="0" applyFont="1" applyAlignment="1">
      <alignment horizontal="left" vertical="center"/>
    </xf>
    <xf numFmtId="0" fontId="72" fillId="0" borderId="0" xfId="0" applyFont="1" applyAlignment="1">
      <alignment vertical="center"/>
    </xf>
    <xf numFmtId="0" fontId="49" fillId="0" borderId="0" xfId="0" applyFont="1" applyBorder="1" applyAlignment="1">
      <alignment horizontal="center" vertical="center"/>
    </xf>
    <xf numFmtId="0" fontId="49" fillId="0" borderId="0" xfId="0" applyFont="1" applyBorder="1" applyAlignment="1">
      <alignment horizontal="left" vertical="center"/>
    </xf>
    <xf numFmtId="0" fontId="72" fillId="0" borderId="0" xfId="0" applyFont="1" applyBorder="1" applyAlignment="1">
      <alignment vertical="center"/>
    </xf>
    <xf numFmtId="0" fontId="69" fillId="0" borderId="0" xfId="0" applyFont="1" applyBorder="1" applyAlignment="1">
      <alignment horizontal="center" vertical="center"/>
    </xf>
    <xf numFmtId="0" fontId="69" fillId="0" borderId="0" xfId="0" applyFont="1" applyBorder="1" applyAlignment="1">
      <alignment horizontal="left" vertical="center"/>
    </xf>
    <xf numFmtId="0" fontId="73" fillId="0" borderId="0" xfId="0" applyFont="1" applyBorder="1" applyAlignment="1">
      <alignment vertical="center"/>
    </xf>
    <xf numFmtId="0" fontId="49" fillId="0" borderId="0" xfId="0" quotePrefix="1" applyFont="1" applyAlignment="1">
      <alignment horizontal="center" vertical="center"/>
    </xf>
    <xf numFmtId="3" fontId="59" fillId="0" borderId="3" xfId="3" applyNumberFormat="1" applyFont="1" applyFill="1" applyBorder="1" applyAlignment="1" applyProtection="1">
      <alignment vertical="center"/>
      <protection hidden="1"/>
    </xf>
    <xf numFmtId="3" fontId="59" fillId="0" borderId="67" xfId="3" applyNumberFormat="1" applyFont="1" applyFill="1" applyBorder="1" applyAlignment="1" applyProtection="1">
      <alignment vertical="center"/>
      <protection hidden="1"/>
    </xf>
    <xf numFmtId="3" fontId="59" fillId="0" borderId="46" xfId="3" applyNumberFormat="1" applyFont="1" applyFill="1" applyBorder="1" applyAlignment="1" applyProtection="1">
      <alignment vertical="center"/>
      <protection hidden="1"/>
    </xf>
    <xf numFmtId="3" fontId="59" fillId="0" borderId="54" xfId="3" applyNumberFormat="1" applyFont="1" applyFill="1" applyBorder="1" applyAlignment="1" applyProtection="1">
      <alignment vertical="center"/>
      <protection hidden="1"/>
    </xf>
    <xf numFmtId="3" fontId="59" fillId="6" borderId="3" xfId="3" applyNumberFormat="1" applyFont="1" applyFill="1" applyBorder="1" applyAlignment="1" applyProtection="1">
      <alignment vertical="center"/>
      <protection hidden="1"/>
    </xf>
    <xf numFmtId="3" fontId="59" fillId="6" borderId="67" xfId="3" applyNumberFormat="1" applyFont="1" applyFill="1" applyBorder="1" applyAlignment="1" applyProtection="1">
      <alignment vertical="center"/>
      <protection hidden="1"/>
    </xf>
    <xf numFmtId="0" fontId="49" fillId="0" borderId="0" xfId="0" applyFont="1" applyFill="1" applyAlignment="1"/>
    <xf numFmtId="0" fontId="49" fillId="0" borderId="0" xfId="0" applyFont="1" applyFill="1" applyAlignment="1">
      <alignment horizontal="left"/>
    </xf>
    <xf numFmtId="0" fontId="49" fillId="0" borderId="0" xfId="0" applyFont="1" applyFill="1" applyAlignment="1">
      <alignment horizontal="center"/>
    </xf>
    <xf numFmtId="0" fontId="49" fillId="0" borderId="0" xfId="0" applyFont="1" applyFill="1" applyAlignment="1">
      <alignment vertical="center"/>
    </xf>
    <xf numFmtId="0" fontId="49" fillId="0" borderId="0" xfId="0" applyFont="1" applyAlignment="1">
      <alignment vertical="center"/>
    </xf>
    <xf numFmtId="0" fontId="69" fillId="0" borderId="0" xfId="0" applyFont="1" applyAlignment="1">
      <alignment horizontal="center" vertical="center"/>
    </xf>
    <xf numFmtId="0" fontId="49" fillId="0" borderId="0" xfId="0" applyFont="1" applyAlignment="1"/>
    <xf numFmtId="0" fontId="49" fillId="0" borderId="0" xfId="0" applyFont="1" applyAlignment="1">
      <alignment horizontal="left"/>
    </xf>
    <xf numFmtId="0" fontId="49" fillId="0" borderId="0" xfId="0" applyFont="1" applyAlignment="1">
      <alignment horizontal="center"/>
    </xf>
    <xf numFmtId="3" fontId="59" fillId="0" borderId="15" xfId="3" applyNumberFormat="1" applyFont="1" applyFill="1" applyBorder="1" applyAlignment="1" applyProtection="1">
      <alignment vertical="center"/>
      <protection hidden="1"/>
    </xf>
    <xf numFmtId="3" fontId="59" fillId="0" borderId="81" xfId="3" applyNumberFormat="1" applyFont="1" applyFill="1" applyBorder="1" applyAlignment="1" applyProtection="1">
      <alignment vertical="center"/>
      <protection hidden="1"/>
    </xf>
    <xf numFmtId="3" fontId="40" fillId="0" borderId="0" xfId="0" applyNumberFormat="1" applyFont="1" applyFill="1" applyBorder="1" applyAlignment="1" applyProtection="1">
      <alignment horizontal="right"/>
      <protection hidden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top" wrapText="1" indent="1"/>
    </xf>
    <xf numFmtId="0" fontId="15" fillId="0" borderId="0" xfId="0" applyFont="1" applyFill="1" applyAlignment="1">
      <alignment horizontal="center" textRotation="90"/>
    </xf>
    <xf numFmtId="0" fontId="6" fillId="0" borderId="0" xfId="0" applyFont="1" applyFill="1" applyAlignment="1">
      <alignment horizontal="center" textRotation="90"/>
    </xf>
    <xf numFmtId="0" fontId="32" fillId="7" borderId="0" xfId="0" applyFont="1" applyFill="1" applyBorder="1" applyAlignment="1" applyProtection="1">
      <alignment horizontal="left" vertical="center" indent="1"/>
      <protection locked="0"/>
    </xf>
    <xf numFmtId="0" fontId="47" fillId="0" borderId="11" xfId="0" applyFont="1" applyBorder="1" applyAlignment="1">
      <alignment horizontal="center" textRotation="90"/>
    </xf>
    <xf numFmtId="0" fontId="16" fillId="6" borderId="17" xfId="3" applyFont="1" applyFill="1" applyBorder="1" applyAlignment="1" applyProtection="1">
      <alignment horizontal="center"/>
      <protection hidden="1"/>
    </xf>
    <xf numFmtId="0" fontId="3" fillId="6" borderId="16" xfId="2" applyFont="1" applyFill="1" applyBorder="1" applyAlignment="1" applyProtection="1">
      <alignment horizontal="center"/>
      <protection hidden="1"/>
    </xf>
    <xf numFmtId="0" fontId="25" fillId="6" borderId="23" xfId="2" applyFont="1" applyFill="1" applyBorder="1" applyAlignment="1" applyProtection="1">
      <alignment horizontal="center" vertical="center"/>
      <protection hidden="1"/>
    </xf>
    <xf numFmtId="0" fontId="25" fillId="6" borderId="13" xfId="2" applyFont="1" applyFill="1" applyBorder="1" applyAlignment="1" applyProtection="1">
      <alignment horizontal="center" vertical="center"/>
      <protection hidden="1"/>
    </xf>
    <xf numFmtId="0" fontId="16" fillId="6" borderId="27" xfId="3" applyFont="1" applyFill="1" applyBorder="1" applyAlignment="1" applyProtection="1">
      <alignment horizontal="center" vertical="center"/>
      <protection hidden="1"/>
    </xf>
    <xf numFmtId="0" fontId="16" fillId="6" borderId="25" xfId="3" applyFont="1" applyFill="1" applyBorder="1" applyAlignment="1" applyProtection="1">
      <alignment horizontal="center" vertical="center"/>
      <protection hidden="1"/>
    </xf>
    <xf numFmtId="0" fontId="16" fillId="6" borderId="26" xfId="3" applyFont="1" applyFill="1" applyBorder="1" applyAlignment="1" applyProtection="1">
      <alignment horizontal="center" vertical="center"/>
      <protection hidden="1"/>
    </xf>
    <xf numFmtId="0" fontId="25" fillId="6" borderId="11" xfId="2" applyFont="1" applyFill="1" applyBorder="1" applyAlignment="1" applyProtection="1">
      <alignment horizontal="center" vertical="center"/>
      <protection hidden="1"/>
    </xf>
    <xf numFmtId="0" fontId="25" fillId="6" borderId="0" xfId="2" applyFont="1" applyFill="1" applyBorder="1" applyAlignment="1" applyProtection="1">
      <alignment horizontal="center" vertical="center"/>
      <protection hidden="1"/>
    </xf>
    <xf numFmtId="0" fontId="16" fillId="6" borderId="1" xfId="3" applyFont="1" applyFill="1" applyBorder="1" applyAlignment="1" applyProtection="1">
      <alignment horizontal="center" vertical="center"/>
      <protection hidden="1"/>
    </xf>
    <xf numFmtId="0" fontId="16" fillId="6" borderId="38" xfId="3" applyFont="1" applyFill="1" applyBorder="1" applyAlignment="1" applyProtection="1">
      <alignment horizontal="center" vertical="center"/>
      <protection hidden="1"/>
    </xf>
    <xf numFmtId="0" fontId="16" fillId="6" borderId="2" xfId="3" applyFont="1" applyFill="1" applyBorder="1" applyAlignment="1" applyProtection="1">
      <alignment horizontal="center" vertical="center"/>
      <protection hidden="1"/>
    </xf>
    <xf numFmtId="0" fontId="16" fillId="6" borderId="40" xfId="3" applyFont="1" applyFill="1" applyBorder="1" applyAlignment="1" applyProtection="1">
      <alignment horizontal="center" vertical="center"/>
      <protection hidden="1"/>
    </xf>
    <xf numFmtId="0" fontId="22" fillId="6" borderId="16" xfId="2" applyFont="1" applyFill="1" applyBorder="1" applyAlignment="1" applyProtection="1">
      <alignment horizontal="center"/>
      <protection hidden="1"/>
    </xf>
    <xf numFmtId="0" fontId="22" fillId="6" borderId="21" xfId="2" applyFont="1" applyFill="1" applyBorder="1" applyAlignment="1" applyProtection="1">
      <alignment horizontal="center"/>
      <protection hidden="1"/>
    </xf>
    <xf numFmtId="0" fontId="16" fillId="6" borderId="23" xfId="2" applyFont="1" applyFill="1" applyBorder="1" applyAlignment="1" applyProtection="1">
      <alignment horizontal="center" vertical="center"/>
      <protection hidden="1"/>
    </xf>
    <xf numFmtId="0" fontId="16" fillId="6" borderId="13" xfId="2" applyFont="1" applyFill="1" applyBorder="1" applyAlignment="1" applyProtection="1">
      <alignment horizontal="center" vertical="center"/>
      <protection hidden="1"/>
    </xf>
    <xf numFmtId="0" fontId="16" fillId="6" borderId="7" xfId="2" applyFont="1" applyFill="1" applyBorder="1" applyAlignment="1" applyProtection="1">
      <alignment horizontal="center" vertical="center"/>
      <protection hidden="1"/>
    </xf>
    <xf numFmtId="0" fontId="16" fillId="6" borderId="52" xfId="3" applyFont="1" applyFill="1" applyBorder="1" applyAlignment="1" applyProtection="1">
      <alignment horizontal="center" vertical="center"/>
      <protection hidden="1"/>
    </xf>
    <xf numFmtId="165" fontId="10" fillId="5" borderId="4" xfId="3" applyNumberFormat="1" applyFont="1" applyFill="1" applyBorder="1" applyAlignment="1" applyProtection="1">
      <alignment horizontal="center" vertical="center"/>
      <protection hidden="1"/>
    </xf>
    <xf numFmtId="164" fontId="10" fillId="5" borderId="43" xfId="3" applyNumberFormat="1" applyFont="1" applyFill="1" applyBorder="1" applyAlignment="1" applyProtection="1">
      <alignment horizontal="center" vertical="center"/>
      <protection hidden="1"/>
    </xf>
    <xf numFmtId="164" fontId="10" fillId="5" borderId="32" xfId="3" applyNumberFormat="1" applyFont="1" applyFill="1" applyBorder="1" applyAlignment="1" applyProtection="1">
      <alignment horizontal="center" vertical="center"/>
      <protection hidden="1"/>
    </xf>
    <xf numFmtId="164" fontId="10" fillId="5" borderId="63" xfId="3" applyNumberFormat="1" applyFont="1" applyFill="1" applyBorder="1" applyAlignment="1" applyProtection="1">
      <alignment horizontal="center" vertical="center"/>
      <protection hidden="1"/>
    </xf>
    <xf numFmtId="164" fontId="59" fillId="5" borderId="4" xfId="3" applyNumberFormat="1" applyFont="1" applyFill="1" applyBorder="1" applyAlignment="1" applyProtection="1">
      <alignment horizontal="center" vertical="center"/>
      <protection hidden="1"/>
    </xf>
    <xf numFmtId="164" fontId="59" fillId="5" borderId="43" xfId="3" applyNumberFormat="1" applyFont="1" applyFill="1" applyBorder="1" applyAlignment="1" applyProtection="1">
      <alignment horizontal="center" vertical="center"/>
      <protection hidden="1"/>
    </xf>
    <xf numFmtId="164" fontId="10" fillId="5" borderId="35" xfId="3" applyNumberFormat="1" applyFont="1" applyFill="1" applyBorder="1" applyAlignment="1" applyProtection="1">
      <alignment horizontal="center" vertical="center"/>
      <protection hidden="1"/>
    </xf>
    <xf numFmtId="164" fontId="20" fillId="5" borderId="29" xfId="3" applyNumberFormat="1" applyFont="1" applyFill="1" applyBorder="1" applyAlignment="1" applyProtection="1">
      <alignment horizontal="center" vertical="center"/>
      <protection hidden="1"/>
    </xf>
    <xf numFmtId="164" fontId="60" fillId="5" borderId="4" xfId="3" applyNumberFormat="1" applyFont="1" applyFill="1" applyBorder="1" applyAlignment="1" applyProtection="1">
      <alignment horizontal="center" vertical="center"/>
      <protection hidden="1"/>
    </xf>
    <xf numFmtId="164" fontId="60" fillId="5" borderId="43" xfId="3" applyNumberFormat="1" applyFont="1" applyFill="1" applyBorder="1" applyAlignment="1" applyProtection="1">
      <alignment horizontal="center" vertical="center"/>
      <protection hidden="1"/>
    </xf>
  </cellXfs>
  <cellStyles count="5">
    <cellStyle name="normal" xfId="3"/>
    <cellStyle name="Normální" xfId="0" builtinId="0"/>
    <cellStyle name="Normální 2" xfId="1"/>
    <cellStyle name="Normální 3" xfId="2"/>
    <cellStyle name="Normální 4" xfId="4"/>
  </cellStyles>
  <dxfs count="436"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theme="0"/>
      </font>
      <fill>
        <patternFill>
          <bgColor theme="6"/>
        </patternFill>
      </fill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theme="0"/>
      </font>
      <fill>
        <patternFill>
          <bgColor theme="6"/>
        </patternFill>
      </fill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theme="0"/>
      </font>
      <fill>
        <patternFill>
          <bgColor theme="6"/>
        </patternFill>
      </fill>
    </dxf>
    <dxf>
      <font>
        <color rgb="FF0000FF"/>
      </font>
      <fill>
        <patternFill>
          <bgColor theme="4" tint="0.79998168889431442"/>
        </patternFill>
      </fill>
      <border>
        <vertical/>
        <horizontal/>
      </border>
    </dxf>
    <dxf>
      <font>
        <color rgb="FF0000FF"/>
      </font>
      <fill>
        <patternFill patternType="lightUp">
          <fgColor rgb="FF0000FF"/>
          <bgColor theme="4" tint="0.79995117038483843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color rgb="FFC00000"/>
      </font>
      <fill>
        <patternFill patternType="lightUp">
          <fgColor rgb="FFC00000"/>
          <bgColor theme="5" tint="0.79995117038483843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ont>
        <color theme="6" tint="-0.24994659260841701"/>
      </font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6" tint="-0.24994659260841701"/>
      </font>
      <border>
        <vertical/>
        <horizontal/>
      </border>
    </dxf>
    <dxf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 patternType="lightUp">
          <fgColor rgb="FF0000FF"/>
          <bgColor theme="4" tint="0.79998168889431442"/>
        </patternFill>
      </fill>
    </dxf>
    <dxf>
      <fill>
        <patternFill patternType="lightUp">
          <fgColor rgb="FFC00000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numFmt numFmtId="165" formatCode="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alignment vertical="top" textRotation="0" wrapTex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numFmt numFmtId="164" formatCode="0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alignment vertical="top" textRotation="0" wrapTex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numFmt numFmtId="164" formatCode="00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numFmt numFmtId="164" formatCode="00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numFmt numFmtId="164" formatCode="00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vertical="top" textRotation="0" wrapTex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solid">
          <fgColor indexed="64"/>
          <bgColor theme="4" tint="0.79998168889431442"/>
        </patternFill>
      </fill>
      <alignment vertical="top" textRotation="0" wrapText="0" justifyLastLine="0" shrinkToFit="0" readingOrder="0"/>
    </dxf>
    <dxf>
      <numFmt numFmtId="4" formatCode="#,##0.0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164" formatCode="0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19" formatCode="d/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0" tint="-4.9989318521683403E-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4" formatCode="#,##0.00"/>
      <fill>
        <patternFill patternType="solid">
          <fgColor indexed="64"/>
          <bgColor theme="0" tint="-0.34998626667073579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</border>
    </dxf>
    <dxf>
      <font>
        <b/>
        <i val="0"/>
        <color theme="0"/>
      </font>
      <fill>
        <patternFill>
          <bgColor theme="0" tint="-0.24994659260841701"/>
        </patternFill>
      </fill>
    </dxf>
    <dxf>
      <fill>
        <patternFill>
          <bgColor theme="0" tint="-4.9989318521683403E-2"/>
        </patternFill>
      </fill>
      <border>
        <bottom style="thin">
          <color theme="0" tint="-0.24994659260841701"/>
        </bottom>
      </border>
    </dxf>
    <dxf>
      <fill>
        <patternFill>
          <bgColor theme="0" tint="-4.9989318521683403E-2"/>
        </patternFill>
      </fill>
      <border>
        <bottom style="thin">
          <color auto="1"/>
        </bottom>
      </border>
    </dxf>
    <dxf>
      <font>
        <b/>
        <i val="0"/>
        <color theme="0"/>
      </font>
      <fill>
        <patternFill>
          <bgColor theme="0" tint="-0.24994659260841701"/>
        </patternFill>
      </fill>
      <border>
        <bottom style="medium">
          <color auto="1"/>
        </bottom>
      </border>
    </dxf>
    <dxf>
      <font>
        <b/>
        <i val="0"/>
      </font>
      <fill>
        <patternFill>
          <bgColor theme="0" tint="-4.9989318521683403E-2"/>
        </patternFill>
      </fill>
      <border>
        <right style="thick">
          <color theme="0"/>
        </right>
      </border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auto="1"/>
      </font>
      <fill>
        <patternFill patternType="solid">
          <bgColor theme="0" tint="-4.9989318521683403E-2"/>
        </patternFill>
      </fill>
      <border>
        <top style="thin">
          <color auto="1"/>
        </top>
        <bottom style="medium">
          <color auto="1"/>
        </bottom>
      </border>
    </dxf>
    <dxf>
      <border>
        <vertical style="thin">
          <color theme="0"/>
        </vertic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color theme="0" tint="-0.24994659260841701"/>
      </font>
      <fill>
        <patternFill patternType="none">
          <bgColor auto="1"/>
        </patternFill>
      </fill>
    </dxf>
    <dxf>
      <font>
        <b val="0"/>
        <i val="0"/>
        <color theme="0"/>
      </font>
      <fill>
        <patternFill patternType="solid">
          <fgColor theme="0" tint="-0.1498764000366222"/>
          <bgColor theme="0" tint="-0.34998626667073579"/>
        </patternFill>
      </fill>
      <border>
        <right style="thick">
          <color theme="0"/>
        </right>
      </border>
    </dxf>
    <dxf>
      <font>
        <b/>
        <color theme="1"/>
      </font>
      <fill>
        <patternFill>
          <bgColor theme="0" tint="-0.14996795556505021"/>
        </patternFill>
      </fill>
      <border>
        <bottom style="thin">
          <color theme="0" tint="-0.34998626667073579"/>
        </bottom>
      </border>
    </dxf>
    <dxf>
      <font>
        <b/>
        <color theme="1"/>
      </font>
      <fill>
        <patternFill patternType="solid">
          <fgColor theme="0" tint="-0.249977111117893"/>
          <bgColor theme="0" tint="-0.14996795556505021"/>
        </patternFill>
      </fill>
      <border>
        <bottom style="thin">
          <color theme="0" tint="-0.24994659260841701"/>
        </bottom>
      </border>
    </dxf>
    <dxf>
      <font>
        <b/>
        <color theme="1"/>
      </font>
      <fill>
        <patternFill>
          <bgColor theme="0" tint="-0.14996795556505021"/>
        </patternFill>
      </fill>
      <border>
        <right style="medium">
          <color theme="0" tint="-0.499984740745262"/>
        </right>
      </border>
    </dxf>
    <dxf>
      <border>
        <left style="medium">
          <color theme="0" tint="-0.14999847407452621"/>
        </left>
        <right style="medium">
          <color theme="0" tint="-0.14999847407452621"/>
        </right>
      </border>
    </dxf>
    <dxf>
      <border>
        <top style="thin">
          <color theme="0" tint="-0.249977111117893"/>
        </top>
        <bottom style="thin">
          <color theme="0" tint="-0.249977111117893"/>
        </bottom>
        <horizontal style="thin">
          <color theme="0" tint="-0.249977111117893"/>
        </horizontal>
      </border>
    </dxf>
    <dxf>
      <font>
        <b/>
        <color theme="1"/>
      </font>
      <fill>
        <patternFill>
          <bgColor theme="0" tint="-0.14996795556505021"/>
        </patternFill>
      </fill>
    </dxf>
    <dxf>
      <font>
        <b/>
        <i val="0"/>
        <color auto="1"/>
      </font>
      <fill>
        <patternFill patternType="none">
          <fgColor indexed="64"/>
          <bgColor auto="1"/>
        </patternFill>
      </fill>
      <border>
        <top/>
      </border>
    </dxf>
    <dxf>
      <font>
        <color theme="1"/>
      </font>
      <border>
        <right style="thick">
          <color theme="0"/>
        </right>
        <bottom style="thin">
          <color theme="0" tint="-0.499984740745262"/>
        </bottom>
        <vertical style="thick">
          <color theme="0"/>
        </vertic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color theme="0" tint="-0.499984740745262"/>
      </font>
      <fill>
        <patternFill patternType="solid">
          <fgColor theme="0" tint="-0.14996795556505021"/>
          <bgColor theme="0" tint="-4.9989318521683403E-2"/>
        </patternFill>
      </fill>
    </dxf>
    <dxf>
      <font>
        <b/>
        <color theme="1"/>
      </font>
      <fill>
        <patternFill>
          <bgColor theme="0" tint="-4.9989318521683403E-2"/>
        </patternFill>
      </fill>
      <border>
        <bottom style="thin">
          <color theme="0" tint="-0.14996795556505021"/>
        </bottom>
      </border>
    </dxf>
    <dxf>
      <font>
        <b/>
        <color theme="1"/>
      </font>
      <fill>
        <patternFill patternType="solid">
          <fgColor theme="0" tint="-0.249977111117893"/>
          <bgColor theme="0" tint="-0.14996795556505021"/>
        </patternFill>
      </fill>
      <border>
        <bottom style="thin">
          <color theme="0" tint="-0.24994659260841701"/>
        </bottom>
      </border>
    </dxf>
    <dxf>
      <font>
        <b/>
        <color theme="1"/>
      </font>
      <fill>
        <patternFill>
          <bgColor theme="0" tint="-0.14996795556505021"/>
        </patternFill>
      </fill>
      <border>
        <right style="medium">
          <color theme="0" tint="-0.499984740745262"/>
        </right>
      </border>
    </dxf>
    <dxf>
      <border>
        <left style="medium">
          <color theme="0" tint="-0.14999847407452621"/>
        </left>
        <right style="medium">
          <color theme="0" tint="-0.14999847407452621"/>
        </right>
      </border>
    </dxf>
    <dxf>
      <font>
        <b/>
        <color theme="1"/>
      </font>
      <fill>
        <patternFill>
          <bgColor theme="0" tint="-0.14996795556505021"/>
        </patternFill>
      </fill>
    </dxf>
    <dxf>
      <font>
        <b/>
        <color theme="0"/>
      </font>
      <fill>
        <patternFill patternType="solid">
          <fgColor theme="1" tint="0.499984740745262"/>
          <bgColor theme="1" tint="0.499984740745262"/>
        </patternFill>
      </fill>
      <border>
        <top style="medium">
          <color theme="1" tint="0.499984740745262"/>
        </top>
        <horizontal style="thin">
          <color theme="1" tint="0.499984740745262"/>
        </horizontal>
      </border>
    </dxf>
    <dxf>
      <font>
        <color theme="1"/>
      </font>
      <border>
        <horizontal style="thin">
          <color theme="0" tint="-4.9989318521683403E-2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i val="0"/>
        <color theme="0"/>
      </font>
      <fill>
        <patternFill>
          <bgColor theme="0" tint="-0.499984740745262"/>
        </patternFill>
      </fill>
      <border>
        <bottom style="thin">
          <color theme="1"/>
        </bottom>
      </border>
    </dxf>
    <dxf>
      <font>
        <color theme="1"/>
      </font>
      <border>
        <top style="thin">
          <color theme="1"/>
        </top>
        <bottom style="thin">
          <color theme="1"/>
        </bottom>
      </border>
    </dxf>
    <dxf>
      <border>
        <horizontal style="thin">
          <color theme="0" tint="-0.14996795556505021"/>
        </horizontal>
      </border>
    </dxf>
    <dxf>
      <font>
        <b/>
        <color theme="1"/>
      </font>
      <fill>
        <patternFill>
          <bgColor theme="0" tint="-0.14996795556505021"/>
        </patternFill>
      </fill>
      <border>
        <vertical/>
        <horizontal/>
      </border>
    </dxf>
    <dxf>
      <font>
        <sz val="8"/>
        <color theme="1"/>
        <name val="Calibri"/>
        <scheme val="minor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</dxfs>
  <tableStyles count="6" defaultTableStyle="TableStyleMedium2" defaultPivotStyle="PivotStyleLight16">
    <tableStyle name="CBA 01" pivot="0" table="0" count="10">
      <tableStyleElement type="wholeTable" dxfId="435"/>
      <tableStyleElement type="headerRow" dxfId="434"/>
    </tableStyle>
    <tableStyle name="data" pivot="0" count="1">
      <tableStyleElement type="wholeTable" dxfId="433"/>
    </tableStyle>
    <tableStyle name="master data" pivot="0" count="7">
      <tableStyleElement type="wholeTable" dxfId="432"/>
      <tableStyleElement type="headerRow" dxfId="431"/>
      <tableStyleElement type="totalRow" dxfId="430"/>
      <tableStyleElement type="firstColumn" dxfId="429"/>
      <tableStyleElement type="lastColumn" dxfId="428"/>
      <tableStyleElement type="firstRowStripe" dxfId="427"/>
      <tableStyleElement type="firstColumnStripe" dxfId="426"/>
    </tableStyle>
    <tableStyle name="PivotStyleMedium8 2" table="0" count="10">
      <tableStyleElement type="wholeTable" dxfId="425"/>
      <tableStyleElement type="headerRow" dxfId="424"/>
      <tableStyleElement type="totalRow" dxfId="423"/>
      <tableStyleElement type="firstColumnStripe" dxfId="422"/>
      <tableStyleElement type="firstSubtotalColumn" dxfId="421"/>
      <tableStyleElement type="firstSubtotalRow" dxfId="420"/>
      <tableStyleElement type="secondSubtotalRow" dxfId="419"/>
      <tableStyleElement type="firstRowSubheading" dxfId="418"/>
      <tableStyleElement type="pageFieldLabels" dxfId="417"/>
      <tableStyleElement type="pageFieldValues" dxfId="416"/>
    </tableStyle>
    <tableStyle name="PivotStyleMedium8 2 2" table="0" count="12">
      <tableStyleElement type="wholeTable" dxfId="415"/>
      <tableStyleElement type="headerRow" dxfId="414"/>
      <tableStyleElement type="totalRow" dxfId="413"/>
      <tableStyleElement type="firstRowStripe" dxfId="412"/>
      <tableStyleElement type="firstColumnStripe" dxfId="411"/>
      <tableStyleElement type="firstSubtotalColumn" dxfId="410"/>
      <tableStyleElement type="firstSubtotalRow" dxfId="409"/>
      <tableStyleElement type="secondSubtotalRow" dxfId="408"/>
      <tableStyleElement type="firstRowSubheading" dxfId="407"/>
      <tableStyleElement type="secondRowSubheading" dxfId="406"/>
      <tableStyleElement type="pageFieldLabels" dxfId="405"/>
      <tableStyleElement type="pageFieldValues" dxfId="404"/>
    </tableStyle>
    <tableStyle name="Tab 02" table="0" count="10">
      <tableStyleElement type="wholeTable" dxfId="403"/>
      <tableStyleElement type="headerRow" dxfId="402"/>
      <tableStyleElement type="totalRow" dxfId="401"/>
      <tableStyleElement type="firstSubtotalColumn" dxfId="400"/>
      <tableStyleElement type="firstSubtotalRow" dxfId="399"/>
      <tableStyleElement type="secondSubtotalRow" dxfId="398"/>
      <tableStyleElement type="thirdSubtotalRow" dxfId="397"/>
      <tableStyleElement type="firstRowSubheading" dxfId="396"/>
      <tableStyleElement type="secondRowSubheading" dxfId="395"/>
      <tableStyleElement type="thirdRowSubheading" dxfId="39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9FF99"/>
      <rgbColor rgb="000000FF"/>
      <rgbColor rgb="00FFFF00"/>
      <rgbColor rgb="00FF9999"/>
      <rgbColor rgb="0066FFFF"/>
      <rgbColor rgb="00CC0000"/>
      <rgbColor rgb="00669900"/>
      <rgbColor rgb="00000080"/>
      <rgbColor rgb="00808000"/>
      <rgbColor rgb="00FF66FF"/>
      <rgbColor rgb="00008080"/>
      <rgbColor rgb="00DDDDDD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999FF"/>
      <rgbColor rgb="00CCFFFF"/>
      <rgbColor rgb="00CCFFCC"/>
      <rgbColor rgb="00FFFF99"/>
      <rgbColor rgb="00CCCCFF"/>
      <rgbColor rgb="00FFCCCC"/>
      <rgbColor rgb="00DFBFFF"/>
      <rgbColor rgb="00FFCC99"/>
      <rgbColor rgb="006699FF"/>
      <rgbColor rgb="0033CCCC"/>
      <rgbColor rgb="00FFCC00"/>
      <rgbColor rgb="00FF9966"/>
      <rgbColor rgb="00F6601E"/>
      <rgbColor rgb="00996633"/>
      <rgbColor rgb="00CC3399"/>
      <rgbColor rgb="00C0C0C0"/>
      <rgbColor rgb="0000628A"/>
      <rgbColor rgb="0099CC00"/>
      <rgbColor rgb="00008000"/>
      <rgbColor rgb="00003300"/>
      <rgbColor rgb="00800000"/>
      <rgbColor rgb="00CC99FF"/>
      <rgbColor rgb="00990099"/>
      <rgbColor rgb="004D4D4D"/>
    </indexedColors>
    <mruColors>
      <color rgb="FF0000FF"/>
      <color rgb="FFFFE38B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/>
          </font>
          <fill>
            <patternFill patternType="solid">
              <fgColor theme="0" tint="-0.14999847407452621"/>
              <bgColor theme="0" tint="-0.14999847407452621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0" tint="-0.249977111117893"/>
              <bgColor theme="0" tint="-0.499984740745262"/>
            </patternFill>
          </fill>
          <border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theme="0" tint="-0.24994659260841701"/>
          </font>
          <fill>
            <patternFill patternType="solid">
              <fgColor theme="0"/>
              <bgColor theme="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patternFill patternType="solid">
              <fgColor theme="0"/>
              <bgColor theme="0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CBA 01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6305549</xdr:colOff>
      <xdr:row>13</xdr:row>
      <xdr:rowOff>161923</xdr:rowOff>
    </xdr:from>
    <xdr:to>
      <xdr:col>8</xdr:col>
      <xdr:colOff>134290</xdr:colOff>
      <xdr:row>23</xdr:row>
      <xdr:rowOff>62612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49" y="2562223"/>
          <a:ext cx="3906191" cy="2005714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</xdr:col>
      <xdr:colOff>4448175</xdr:colOff>
      <xdr:row>16</xdr:row>
      <xdr:rowOff>257175</xdr:rowOff>
    </xdr:from>
    <xdr:to>
      <xdr:col>4</xdr:col>
      <xdr:colOff>152400</xdr:colOff>
      <xdr:row>19</xdr:row>
      <xdr:rowOff>66675</xdr:rowOff>
    </xdr:to>
    <xdr:cxnSp macro="">
      <xdr:nvCxnSpPr>
        <xdr:cNvPr id="3" name="Přímá spojnice se šipkou 2"/>
        <xdr:cNvCxnSpPr/>
      </xdr:nvCxnSpPr>
      <xdr:spPr>
        <a:xfrm>
          <a:off x="4562475" y="3143250"/>
          <a:ext cx="3343275" cy="457200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5934075</xdr:colOff>
      <xdr:row>14</xdr:row>
      <xdr:rowOff>95250</xdr:rowOff>
    </xdr:from>
    <xdr:to>
      <xdr:col>1</xdr:col>
      <xdr:colOff>6315075</xdr:colOff>
      <xdr:row>15</xdr:row>
      <xdr:rowOff>76200</xdr:rowOff>
    </xdr:to>
    <xdr:cxnSp macro="">
      <xdr:nvCxnSpPr>
        <xdr:cNvPr id="4" name="Přímá spojnice se šipkou 3"/>
        <xdr:cNvCxnSpPr/>
      </xdr:nvCxnSpPr>
      <xdr:spPr>
        <a:xfrm>
          <a:off x="6048375" y="2657475"/>
          <a:ext cx="381000" cy="142875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106</xdr:row>
      <xdr:rowOff>142875</xdr:rowOff>
    </xdr:from>
    <xdr:to>
      <xdr:col>9</xdr:col>
      <xdr:colOff>18902</xdr:colOff>
      <xdr:row>111</xdr:row>
      <xdr:rowOff>66583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2575" y="19050000"/>
          <a:ext cx="1180952" cy="73333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3790950</xdr:colOff>
      <xdr:row>109</xdr:row>
      <xdr:rowOff>95250</xdr:rowOff>
    </xdr:from>
    <xdr:to>
      <xdr:col>1</xdr:col>
      <xdr:colOff>4914760</xdr:colOff>
      <xdr:row>114</xdr:row>
      <xdr:rowOff>76101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05250" y="19488150"/>
          <a:ext cx="1123810" cy="7904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2</xdr:col>
      <xdr:colOff>0</xdr:colOff>
      <xdr:row>22</xdr:row>
      <xdr:rowOff>114300</xdr:rowOff>
    </xdr:from>
    <xdr:to>
      <xdr:col>4</xdr:col>
      <xdr:colOff>161925</xdr:colOff>
      <xdr:row>25</xdr:row>
      <xdr:rowOff>171451</xdr:rowOff>
    </xdr:to>
    <xdr:cxnSp macro="">
      <xdr:nvCxnSpPr>
        <xdr:cNvPr id="7" name="Přímá spojnice se šipkou 6"/>
        <xdr:cNvCxnSpPr/>
      </xdr:nvCxnSpPr>
      <xdr:spPr>
        <a:xfrm flipV="1">
          <a:off x="6534150" y="4457700"/>
          <a:ext cx="1381125" cy="704851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5238750</xdr:colOff>
      <xdr:row>19</xdr:row>
      <xdr:rowOff>190500</xdr:rowOff>
    </xdr:from>
    <xdr:to>
      <xdr:col>3</xdr:col>
      <xdr:colOff>466725</xdr:colOff>
      <xdr:row>20</xdr:row>
      <xdr:rowOff>85725</xdr:rowOff>
    </xdr:to>
    <xdr:cxnSp macro="">
      <xdr:nvCxnSpPr>
        <xdr:cNvPr id="8" name="Přímá spojnice se šipkou 7"/>
        <xdr:cNvCxnSpPr/>
      </xdr:nvCxnSpPr>
      <xdr:spPr>
        <a:xfrm>
          <a:off x="5353050" y="3724275"/>
          <a:ext cx="2257425" cy="219075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1657350</xdr:colOff>
      <xdr:row>21</xdr:row>
      <xdr:rowOff>76200</xdr:rowOff>
    </xdr:from>
    <xdr:to>
      <xdr:col>3</xdr:col>
      <xdr:colOff>485775</xdr:colOff>
      <xdr:row>22</xdr:row>
      <xdr:rowOff>95251</xdr:rowOff>
    </xdr:to>
    <xdr:cxnSp macro="">
      <xdr:nvCxnSpPr>
        <xdr:cNvPr id="9" name="Přímá spojnice se šipkou 8"/>
        <xdr:cNvCxnSpPr/>
      </xdr:nvCxnSpPr>
      <xdr:spPr>
        <a:xfrm flipV="1">
          <a:off x="1771650" y="4257675"/>
          <a:ext cx="5857875" cy="180976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2609850</xdr:colOff>
      <xdr:row>32</xdr:row>
      <xdr:rowOff>76200</xdr:rowOff>
    </xdr:from>
    <xdr:to>
      <xdr:col>7</xdr:col>
      <xdr:colOff>106286</xdr:colOff>
      <xdr:row>37</xdr:row>
      <xdr:rowOff>436575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24150" y="6562725"/>
          <a:ext cx="6964286" cy="1170000"/>
        </a:xfrm>
        <a:prstGeom prst="rect">
          <a:avLst/>
        </a:prstGeom>
      </xdr:spPr>
    </xdr:pic>
    <xdr:clientData/>
  </xdr:twoCellAnchor>
  <xdr:twoCellAnchor>
    <xdr:from>
      <xdr:col>1</xdr:col>
      <xdr:colOff>6276976</xdr:colOff>
      <xdr:row>86</xdr:row>
      <xdr:rowOff>57150</xdr:rowOff>
    </xdr:from>
    <xdr:to>
      <xdr:col>8</xdr:col>
      <xdr:colOff>105717</xdr:colOff>
      <xdr:row>94</xdr:row>
      <xdr:rowOff>148416</xdr:rowOff>
    </xdr:to>
    <xdr:pic>
      <xdr:nvPicPr>
        <xdr:cNvPr id="11" name="Obrázek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91276" y="15725775"/>
          <a:ext cx="3906191" cy="1386666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91</xdr:row>
      <xdr:rowOff>152400</xdr:rowOff>
    </xdr:from>
    <xdr:to>
      <xdr:col>1</xdr:col>
      <xdr:colOff>2992409</xdr:colOff>
      <xdr:row>94</xdr:row>
      <xdr:rowOff>149482</xdr:rowOff>
    </xdr:to>
    <xdr:pic>
      <xdr:nvPicPr>
        <xdr:cNvPr id="12" name="Obrázek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33375" y="16630650"/>
          <a:ext cx="2773334" cy="482857"/>
        </a:xfrm>
        <a:prstGeom prst="rect">
          <a:avLst/>
        </a:prstGeom>
      </xdr:spPr>
    </xdr:pic>
    <xdr:clientData/>
  </xdr:twoCellAnchor>
  <xdr:twoCellAnchor>
    <xdr:from>
      <xdr:col>1</xdr:col>
      <xdr:colOff>5705475</xdr:colOff>
      <xdr:row>88</xdr:row>
      <xdr:rowOff>85725</xdr:rowOff>
    </xdr:from>
    <xdr:to>
      <xdr:col>1</xdr:col>
      <xdr:colOff>6267450</xdr:colOff>
      <xdr:row>88</xdr:row>
      <xdr:rowOff>114300</xdr:rowOff>
    </xdr:to>
    <xdr:cxnSp macro="">
      <xdr:nvCxnSpPr>
        <xdr:cNvPr id="13" name="Přímá spojnice se šipkou 12"/>
        <xdr:cNvCxnSpPr/>
      </xdr:nvCxnSpPr>
      <xdr:spPr>
        <a:xfrm>
          <a:off x="5819775" y="16078200"/>
          <a:ext cx="561975" cy="28575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1390650</xdr:colOff>
      <xdr:row>92</xdr:row>
      <xdr:rowOff>19050</xdr:rowOff>
    </xdr:from>
    <xdr:to>
      <xdr:col>1</xdr:col>
      <xdr:colOff>2047875</xdr:colOff>
      <xdr:row>94</xdr:row>
      <xdr:rowOff>9525</xdr:rowOff>
    </xdr:to>
    <xdr:cxnSp macro="">
      <xdr:nvCxnSpPr>
        <xdr:cNvPr id="14" name="Přímá spojnice se šipkou 13"/>
        <xdr:cNvCxnSpPr/>
      </xdr:nvCxnSpPr>
      <xdr:spPr>
        <a:xfrm>
          <a:off x="1504950" y="16659225"/>
          <a:ext cx="657225" cy="314325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chance/AppData/Local/Microsoft/Windows/Temporary%20Internet%20Files/Content.Outlook/CJKJO33J/0.%20MASTER%20DATA_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p"/>
      <sheetName val="INDEX"/>
      <sheetName val="DATA"/>
      <sheetName val="VÝKAZ ZZ"/>
      <sheetName val="AKTIVA"/>
      <sheetName val="PASIVA"/>
      <sheetName val="pivot"/>
      <sheetName val="ucty_synt"/>
      <sheetName val="řádky R"/>
      <sheetName val="řádky V"/>
      <sheetName val="dates"/>
    </sheetNames>
    <sheetDataSet>
      <sheetData sheetId="0"/>
      <sheetData sheetId="1">
        <row r="17">
          <cell r="D17">
            <v>1000</v>
          </cell>
        </row>
        <row r="19">
          <cell r="C19" t="str">
            <v>česky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id="1" name="data" displayName="data" ref="B1:Y7" totalsRowShown="0" headerRowDxfId="393" dataDxfId="392" headerRowCellStyle="Normální 2" dataCellStyle="Normální 2">
  <autoFilter ref="B1:Y7"/>
  <tableColumns count="24">
    <tableColumn id="24" name="zdroj" dataDxfId="391" dataCellStyle="Normální 2"/>
    <tableColumn id="1" name="datum" dataDxfId="390" dataCellStyle="Normální 2"/>
    <tableColumn id="2" name="ucet" dataDxfId="389" dataCellStyle="Normální 2"/>
    <tableColumn id="3" name="ucet_an_nazev" dataDxfId="388" dataCellStyle="Normální 2"/>
    <tableColumn id="19" name="pocatecni zust" dataDxfId="387" dataCellStyle="Normální 2"/>
    <tableColumn id="21" name="obrat MD" dataDxfId="386" dataCellStyle="Normální 2"/>
    <tableColumn id="22" name="obrat D" dataDxfId="385" dataCellStyle="Normální 2"/>
    <tableColumn id="4" name="zustatek" dataDxfId="384" dataCellStyle="Normální 2"/>
    <tableColumn id="23" name="ucet_an_cislo_popis" dataDxfId="383" dataCellStyle="Normální 2">
      <calculatedColumnFormula>CONCATENATE(D2," ",E2)</calculatedColumnFormula>
    </tableColumn>
    <tableColumn id="5" name="uc_synt" dataDxfId="382" dataCellStyle="Normální 2">
      <calculatedColumnFormula>IF(I2=0,"-",VALUE(LEFT(D2,LEN(D2)-(INDEX!$E$13-3))))</calculatedColumnFormula>
    </tableColumn>
    <tableColumn id="13" name="uc_synt_popis" dataDxfId="381" dataCellStyle="Normální 2">
      <calculatedColumnFormula>IF(I2=0,"-",VLOOKUP(K2,ucty_synt!A:B,2,0))</calculatedColumnFormula>
    </tableColumn>
    <tableColumn id="6" name="výkaz" dataDxfId="380" dataCellStyle="Normální 2">
      <calculatedColumnFormula>IF(S2="-","-",VLOOKUP(K2,ucty_synt!A:S,3,0))</calculatedColumnFormula>
    </tableColumn>
    <tableColumn id="18" name="část" dataDxfId="379" dataCellStyle="Normální 2">
      <calculatedColumnFormula>IF(I2=0,"-",IF(M2="Rozvaha",VLOOKUP(S2,radky_R!A:O,6,0),IF(M2="Výsledovka",VLOOKUP(S2,radky_V!A:M,6,0),"-")))</calculatedColumnFormula>
    </tableColumn>
    <tableColumn id="7" name="ř_auto" dataDxfId="378" dataCellStyle="Normální 2">
      <calculatedColumnFormula>IF(I2=0,"-",IF(COUNTIF(ucty_synt!A:A,K2)=0,"účet n/a",IF(VLOOKUP(K2,ucty_synt!A:S,4,0)=RIGHT($P$1,5),"podle AÚ",IF(VLOOKUP(K2,ucty_synt!A:S,4,0)=RIGHT($Q$1,5),"podle SÚ",IF(SUMIF(ucty_synt!A:A,K2,ucty_synt!E:E)&lt;&gt;0,VLOOKUP(K2,ucty_synt!A:T,5,0),"doplnit")))))</calculatedColumnFormula>
    </tableColumn>
    <tableColumn id="8" name="ř_A/P a" dataDxfId="377" dataCellStyle="Normální 2">
      <calculatedColumnFormula>IF(I2=0,"-",IF(VLOOKUP(K2,ucty_synt!A:S,4,0)=RIGHT($P$1,5),IF(SUMIFS(I:I,C:C,C2,D:D,D2)&gt;=0,VLOOKUP(K2,ucty_synt!A:E,5,0),VLOOKUP(K2,ucty_synt!A:L,12,0)),"-"))</calculatedColumnFormula>
    </tableColumn>
    <tableColumn id="9" name="ř_A/P s" dataDxfId="376" dataCellStyle="Normální 2">
      <calculatedColumnFormula>IF(I2=0,"-",IF(VLOOKUP(K2,ucty_synt!A:S,4,0)=RIGHT($Q$1,5),IF(SUMIFS(I:I,C:C,C2,K:K,K2)&gt;=0,VLOOKUP(K2,ucty_synt!A:E,5,0),VLOOKUP(K2,ucty_synt!A:L,12,0)),"-"))</calculatedColumnFormula>
    </tableColumn>
    <tableColumn id="10" name="ř_ručně" dataDxfId="375" dataCellStyle="Normální 2"/>
    <tableColumn id="11" name="ř_final" dataDxfId="374" dataCellStyle="Normální 2">
      <calculatedColumnFormula>IF(ISNUMBER(R2),R2,IF(ISNUMBER(Q2),Q2,IF(ISNUMBER(P2),P2,IF(ISNUMBER(O2),O2,"-"))))</calculatedColumnFormula>
    </tableColumn>
    <tableColumn id="12" name="ř_číslo_popis" dataDxfId="373" dataCellStyle="Normální 2">
      <calculatedColumnFormula>IF(S2="-","-",IF(M2="Rozvaha",VLOOKUP(S2,radky_R!A:O,14,0),IF(M2="Výsledovka",VLOOKUP(S2,radky_V!A:M,12,0),"-")))</calculatedColumnFormula>
    </tableColumn>
    <tableColumn id="14" name="id_1" dataDxfId="372" dataCellStyle="Normální 2">
      <calculatedColumnFormula>IF(I2=0,"-",IF(M2="Rozvaha",VLOOKUP(S2,radky_R!A:O,8,0),IF(M2="Výsledovka",VLOOKUP(S2,radky_V!A:M,8,0),"-")))</calculatedColumnFormula>
    </tableColumn>
    <tableColumn id="15" name="id_2" dataDxfId="371" dataCellStyle="Normální 2">
      <calculatedColumnFormula>IF(I2=0,"-",IF(M2="Rozvaha",VLOOKUP(S2,radky_R!A:O,9,0),IF(M2="Výsledovka",VLOOKUP(S2,radky_V!A:M,9,0),"-")))</calculatedColumnFormula>
    </tableColumn>
    <tableColumn id="20" name="id_skupina" dataDxfId="370" dataCellStyle="Normální 2">
      <calculatedColumnFormula>IF(I2=0,"-",IF(M2="Rozvaha",VLOOKUP(S2,radky_R!A:O,15,0),IF(M2="Výsledovka",VLOOKUP(S2,radky_V!A:M,11,0),"-")))</calculatedColumnFormula>
    </tableColumn>
    <tableColumn id="16" name="typ sloupce" dataDxfId="369" dataCellStyle="Normální 2">
      <calculatedColumnFormula>IF(I2=0,"-",VLOOKUP(K2,ucty_synt!A:S,19,0))</calculatedColumnFormula>
    </tableColumn>
    <tableColumn id="17" name="zokrouhleno" dataDxfId="368" dataCellStyle="Normální 2">
      <calculatedColumnFormula>I2/zaokr</calculatedColumnFormula>
    </tableColumn>
  </tableColumns>
  <tableStyleInfo name="data" showFirstColumn="0" showLastColumn="0" showRowStripes="1" showColumnStripes="0"/>
</table>
</file>

<file path=xl/tables/table2.xml><?xml version="1.0" encoding="utf-8"?>
<table xmlns="http://schemas.openxmlformats.org/spreadsheetml/2006/main" id="2" name="ucty_synt" displayName="ucty_synt" ref="A1:T348" totalsRowShown="0" headerRowDxfId="367" dataDxfId="366">
  <autoFilter ref="A1:T348"/>
  <tableColumns count="20">
    <tableColumn id="1" name="ucet_synt" dataDxfId="365"/>
    <tableColumn id="2" name="ucet_synt_nazev" dataDxfId="364"/>
    <tableColumn id="3" name="výkaz" dataDxfId="363"/>
    <tableColumn id="4" name="typ" dataDxfId="362"/>
    <tableColumn id="5" name="a řád" dataDxfId="361"/>
    <tableColumn id="6" name="a1" dataDxfId="360"/>
    <tableColumn id="7" name="a2" dataDxfId="359"/>
    <tableColumn id="8" name="a3" dataDxfId="358"/>
    <tableColumn id="17" name="a4" dataDxfId="357"/>
    <tableColumn id="19" name="a5" dataDxfId="356"/>
    <tableColumn id="9" name="a název" dataDxfId="355">
      <calculatedColumnFormula>IF(ISBLANK(E2),"ručně doplnit",IF(E2="-","není ve výkazech",IF(C2="Rozvaha",VLOOKUP(E2,radky_R!$A:$B,2,0),IF(C2="Výsledovka",VLOOKUP(E2,radky_V!A:M,2,0)))))</calculatedColumnFormula>
    </tableColumn>
    <tableColumn id="10" name="alt řád" dataDxfId="354"/>
    <tableColumn id="11" name="alt 1" dataDxfId="353"/>
    <tableColumn id="12" name="alt 2" dataDxfId="352"/>
    <tableColumn id="13" name="alt 3" dataDxfId="351"/>
    <tableColumn id="18" name="alt 4" dataDxfId="350"/>
    <tableColumn id="20" name="alt 5" dataDxfId="349"/>
    <tableColumn id="14" name="p název" dataDxfId="348">
      <calculatedColumnFormula>IF(ISBLANK(L2),"není alternativa",IF(L2="-","není ve výkazech",VLOOKUP(L2,radky_R!$A:$B,2,0)))</calculatedColumnFormula>
    </tableColumn>
    <tableColumn id="15" name="sloupec" dataDxfId="347"/>
    <tableColumn id="16" name="proces" dataDxfId="346"/>
  </tableColumns>
  <tableStyleInfo name="master data" showFirstColumn="0" showLastColumn="0" showRowStripes="1" showColumnStripes="0"/>
</table>
</file>

<file path=xl/tables/table3.xml><?xml version="1.0" encoding="utf-8"?>
<table xmlns="http://schemas.openxmlformats.org/spreadsheetml/2006/main" id="3" name="radky_R" displayName="radky_R" ref="A1:O144" totalsRowShown="0" headerRowDxfId="345" dataDxfId="344">
  <autoFilter ref="A1:O144"/>
  <tableColumns count="15">
    <tableColumn id="1" name="řád" dataDxfId="343"/>
    <tableColumn id="2" name="cz název" dataDxfId="342"/>
    <tableColumn id="3" name="en název" dataDxfId="341"/>
    <tableColumn id="4" name="de název" dataDxfId="340"/>
    <tableColumn id="5" name="výkaz" dataDxfId="339"/>
    <tableColumn id="6" name="část" dataDxfId="338"/>
    <tableColumn id="7" name="zaokr" dataDxfId="337"/>
    <tableColumn id="8" name="id_1" dataDxfId="336"/>
    <tableColumn id="9" name="id_2" dataDxfId="335"/>
    <tableColumn id="10" name="id_3" dataDxfId="334"/>
    <tableColumn id="14" name="id_4" dataDxfId="333"/>
    <tableColumn id="15" name="id_5" dataDxfId="332"/>
    <tableColumn id="11" name="id_skupina" dataDxfId="331">
      <calculatedColumnFormula>IF(AND(H2=0,I2=0,J2=0),"-",IF(A2=2,CONCATENATE(H2,I2," ",B2),IF(ISBLANK(H1),CONCATENATE(H2,I2," ",B1),M1)))</calculatedColumnFormula>
    </tableColumn>
    <tableColumn id="12" name="řád + řádek" dataDxfId="330">
      <calculatedColumnFormula>IF(ISBLANK(H2),"-",CONCATENATE(TEXT(A2,"000")," ",B2))</calculatedColumnFormula>
    </tableColumn>
    <tableColumn id="13" name="řádek výkazu" dataDxfId="329">
      <calculatedColumnFormula>IF(jazyk="česky",B2,IF(jazyk="anglicky",C2,IF(jazyk="německy",D2,"-")))</calculatedColumnFormula>
    </tableColumn>
  </tableColumns>
  <tableStyleInfo name="master data" showFirstColumn="0" showLastColumn="0" showRowStripes="1" showColumnStripes="0"/>
</table>
</file>

<file path=xl/tables/table4.xml><?xml version="1.0" encoding="utf-8"?>
<table xmlns="http://schemas.openxmlformats.org/spreadsheetml/2006/main" id="4" name="radky_V" displayName="radky_V" ref="A1:M57" totalsRowShown="0" headerRowDxfId="328" dataDxfId="327">
  <autoFilter ref="A1:M57"/>
  <tableColumns count="13">
    <tableColumn id="1" name="řád" dataDxfId="326"/>
    <tableColumn id="2" name="cz název" dataDxfId="325"/>
    <tableColumn id="3" name="en název" dataDxfId="324"/>
    <tableColumn id="4" name="de název" dataDxfId="323"/>
    <tableColumn id="5" name="výkaz" dataDxfId="322"/>
    <tableColumn id="6" name="část Výnosy" dataDxfId="321"/>
    <tableColumn id="7" name="zaokr" dataDxfId="320"/>
    <tableColumn id="8" name="a1" dataDxfId="319"/>
    <tableColumn id="9" name="a2" dataDxfId="318"/>
    <tableColumn id="10" name="a3" dataDxfId="317"/>
    <tableColumn id="11" name="část a2" dataDxfId="316"/>
    <tableColumn id="12" name="řád + řádek" dataDxfId="315">
      <calculatedColumnFormula>IF(ISBLANK(G2),"-",CONCATENATE(TEXT(A2,"000")," ",B2))</calculatedColumnFormula>
    </tableColumn>
    <tableColumn id="13" name="řádek v jazyku výkazu výkazu" dataDxfId="314">
      <calculatedColumnFormula>IF(jazyk="česky",B2,IF(jazyk="anglicky",C2,IF(jazyk="německy",D2,"-")))</calculatedColumnFormula>
    </tableColumn>
  </tableColumns>
  <tableStyleInfo name="master data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outlinePr summaryBelow="0" summaryRight="0"/>
    <pageSetUpPr fitToPage="1"/>
  </sheetPr>
  <dimension ref="B1:I116"/>
  <sheetViews>
    <sheetView showGridLines="0" showRowColHeaders="0" topLeftCell="A13" zoomScale="115" zoomScaleNormal="115" workbookViewId="0">
      <selection activeCell="B1" sqref="B1"/>
    </sheetView>
  </sheetViews>
  <sheetFormatPr defaultRowHeight="12.75" outlineLevelRow="1" x14ac:dyDescent="0.2"/>
  <cols>
    <col min="1" max="1" width="1.7109375" style="55" customWidth="1"/>
    <col min="2" max="2" width="96.28515625" style="166" customWidth="1"/>
    <col min="3" max="3" width="9.140625" style="55" customWidth="1"/>
    <col min="4" max="7" width="9.140625" style="55"/>
    <col min="8" max="8" width="9.140625" style="56"/>
    <col min="9" max="9" width="2.140625" style="55" customWidth="1"/>
    <col min="10" max="16384" width="9.140625" style="55"/>
  </cols>
  <sheetData>
    <row r="1" spans="2:9" ht="18.75" x14ac:dyDescent="0.2">
      <c r="B1" s="58" t="s">
        <v>533</v>
      </c>
      <c r="C1" s="57"/>
      <c r="D1" s="57"/>
      <c r="E1" s="57"/>
      <c r="F1" s="57"/>
      <c r="G1" s="57"/>
      <c r="H1" s="57"/>
      <c r="I1" s="57"/>
    </row>
    <row r="2" spans="2:9" x14ac:dyDescent="0.2">
      <c r="H2" s="55"/>
    </row>
    <row r="3" spans="2:9" x14ac:dyDescent="0.2">
      <c r="B3" s="549" t="s">
        <v>534</v>
      </c>
      <c r="C3" s="549"/>
      <c r="D3" s="549"/>
      <c r="E3" s="549"/>
      <c r="F3" s="549"/>
      <c r="G3" s="549"/>
      <c r="H3" s="549"/>
      <c r="I3" s="549"/>
    </row>
    <row r="4" spans="2:9" x14ac:dyDescent="0.2">
      <c r="B4" s="166" t="s">
        <v>535</v>
      </c>
      <c r="H4" s="55"/>
    </row>
    <row r="5" spans="2:9" x14ac:dyDescent="0.2">
      <c r="B5" s="166" t="s">
        <v>536</v>
      </c>
      <c r="H5" s="55"/>
    </row>
    <row r="6" spans="2:9" x14ac:dyDescent="0.2">
      <c r="B6" s="166" t="s">
        <v>537</v>
      </c>
      <c r="H6" s="55"/>
    </row>
    <row r="7" spans="2:9" x14ac:dyDescent="0.2">
      <c r="B7" s="166" t="s">
        <v>538</v>
      </c>
      <c r="H7" s="55"/>
    </row>
    <row r="8" spans="2:9" x14ac:dyDescent="0.2">
      <c r="B8" s="166" t="s">
        <v>539</v>
      </c>
      <c r="H8" s="55"/>
    </row>
    <row r="9" spans="2:9" x14ac:dyDescent="0.2">
      <c r="B9" s="166" t="s">
        <v>540</v>
      </c>
      <c r="H9" s="55"/>
    </row>
    <row r="10" spans="2:9" x14ac:dyDescent="0.2">
      <c r="H10" s="55"/>
    </row>
    <row r="11" spans="2:9" ht="27" customHeight="1" x14ac:dyDescent="0.2">
      <c r="B11" s="550" t="s">
        <v>560</v>
      </c>
      <c r="C11" s="550"/>
      <c r="D11" s="550"/>
      <c r="E11" s="550"/>
      <c r="F11" s="550"/>
      <c r="G11" s="550"/>
      <c r="H11" s="550"/>
    </row>
    <row r="13" spans="2:9" ht="15.75" collapsed="1" x14ac:dyDescent="0.2">
      <c r="B13" s="59" t="str">
        <f>B4</f>
        <v>1. Vyplnění základní identifikačních údajů účetní jednotky.</v>
      </c>
      <c r="C13" s="53"/>
      <c r="D13" s="53"/>
      <c r="E13" s="53"/>
      <c r="F13" s="53"/>
      <c r="G13" s="53"/>
      <c r="H13" s="54" t="s">
        <v>541</v>
      </c>
      <c r="I13" s="53"/>
    </row>
    <row r="14" spans="2:9" hidden="1" outlineLevel="1" x14ac:dyDescent="0.2">
      <c r="B14" s="60"/>
    </row>
    <row r="15" spans="2:9" hidden="1" outlineLevel="1" x14ac:dyDescent="0.2">
      <c r="B15" s="60" t="s">
        <v>542</v>
      </c>
    </row>
    <row r="16" spans="2:9" hidden="1" outlineLevel="1" x14ac:dyDescent="0.2">
      <c r="B16" s="60"/>
    </row>
    <row r="17" spans="2:9" ht="25.5" hidden="1" outlineLevel="1" x14ac:dyDescent="0.2">
      <c r="B17" s="60" t="s">
        <v>586</v>
      </c>
    </row>
    <row r="18" spans="2:9" hidden="1" outlineLevel="1" x14ac:dyDescent="0.2">
      <c r="B18" s="60"/>
    </row>
    <row r="19" spans="2:9" hidden="1" outlineLevel="1" x14ac:dyDescent="0.2">
      <c r="B19" s="60" t="s">
        <v>543</v>
      </c>
    </row>
    <row r="20" spans="2:9" ht="25.5" hidden="1" outlineLevel="1" x14ac:dyDescent="0.2">
      <c r="B20" s="60" t="s">
        <v>544</v>
      </c>
    </row>
    <row r="21" spans="2:9" ht="25.5" hidden="1" outlineLevel="1" x14ac:dyDescent="0.2">
      <c r="B21" s="61" t="s">
        <v>587</v>
      </c>
    </row>
    <row r="22" spans="2:9" hidden="1" outlineLevel="1" x14ac:dyDescent="0.2">
      <c r="B22" s="60"/>
    </row>
    <row r="23" spans="2:9" hidden="1" outlineLevel="1" x14ac:dyDescent="0.2">
      <c r="B23" s="60" t="s">
        <v>545</v>
      </c>
    </row>
    <row r="24" spans="2:9" ht="25.5" hidden="1" outlineLevel="1" x14ac:dyDescent="0.2">
      <c r="B24" s="61" t="s">
        <v>588</v>
      </c>
    </row>
    <row r="25" spans="2:9" hidden="1" outlineLevel="1" x14ac:dyDescent="0.2">
      <c r="B25" s="60"/>
    </row>
    <row r="26" spans="2:9" ht="38.25" hidden="1" outlineLevel="1" x14ac:dyDescent="0.2">
      <c r="B26" s="60" t="s">
        <v>617</v>
      </c>
    </row>
    <row r="28" spans="2:9" ht="15.75" collapsed="1" x14ac:dyDescent="0.2">
      <c r="B28" s="59" t="str">
        <f>B5</f>
        <v>2. Vložení obratové předvahy za vybraná období.</v>
      </c>
      <c r="C28" s="53"/>
      <c r="D28" s="53"/>
      <c r="E28" s="53"/>
      <c r="F28" s="53"/>
      <c r="G28" s="53"/>
      <c r="H28" s="54" t="s">
        <v>548</v>
      </c>
      <c r="I28" s="53"/>
    </row>
    <row r="29" spans="2:9" hidden="1" outlineLevel="1" x14ac:dyDescent="0.2">
      <c r="B29" s="60"/>
    </row>
    <row r="30" spans="2:9" hidden="1" outlineLevel="1" x14ac:dyDescent="0.2">
      <c r="B30" s="62" t="s">
        <v>590</v>
      </c>
    </row>
    <row r="31" spans="2:9" hidden="1" outlineLevel="1" x14ac:dyDescent="0.2">
      <c r="B31" s="64" t="s">
        <v>591</v>
      </c>
    </row>
    <row r="32" spans="2:9" ht="38.25" hidden="1" outlineLevel="1" x14ac:dyDescent="0.2">
      <c r="B32" s="117" t="s">
        <v>597</v>
      </c>
    </row>
    <row r="33" spans="2:9" hidden="1" outlineLevel="1" x14ac:dyDescent="0.2">
      <c r="B33" s="117" t="s">
        <v>596</v>
      </c>
    </row>
    <row r="34" spans="2:9" hidden="1" outlineLevel="1" x14ac:dyDescent="0.2">
      <c r="B34" s="117" t="s">
        <v>595</v>
      </c>
    </row>
    <row r="35" spans="2:9" hidden="1" outlineLevel="1" x14ac:dyDescent="0.2">
      <c r="B35" s="117" t="s">
        <v>594</v>
      </c>
    </row>
    <row r="36" spans="2:9" hidden="1" outlineLevel="1" x14ac:dyDescent="0.2">
      <c r="B36" s="117" t="s">
        <v>593</v>
      </c>
    </row>
    <row r="37" spans="2:9" hidden="1" outlineLevel="1" x14ac:dyDescent="0.2">
      <c r="B37" s="64" t="s">
        <v>592</v>
      </c>
    </row>
    <row r="38" spans="2:9" ht="38.25" hidden="1" customHeight="1" outlineLevel="1" x14ac:dyDescent="0.2">
      <c r="B38" s="60"/>
    </row>
    <row r="39" spans="2:9" hidden="1" outlineLevel="1" x14ac:dyDescent="0.2">
      <c r="B39" s="164" t="s">
        <v>608</v>
      </c>
    </row>
    <row r="40" spans="2:9" hidden="1" outlineLevel="1" x14ac:dyDescent="0.2">
      <c r="B40" s="164" t="s">
        <v>589</v>
      </c>
    </row>
    <row r="41" spans="2:9" hidden="1" outlineLevel="1" x14ac:dyDescent="0.2">
      <c r="B41" s="60"/>
    </row>
    <row r="42" spans="2:9" hidden="1" outlineLevel="1" x14ac:dyDescent="0.2">
      <c r="B42" s="60" t="s">
        <v>563</v>
      </c>
    </row>
    <row r="43" spans="2:9" hidden="1" outlineLevel="1" x14ac:dyDescent="0.2">
      <c r="B43" s="61" t="s">
        <v>549</v>
      </c>
    </row>
    <row r="44" spans="2:9" hidden="1" outlineLevel="1" x14ac:dyDescent="0.2">
      <c r="B44" s="61" t="s">
        <v>550</v>
      </c>
    </row>
    <row r="45" spans="2:9" hidden="1" outlineLevel="1" x14ac:dyDescent="0.2">
      <c r="B45" s="60"/>
    </row>
    <row r="46" spans="2:9" hidden="1" outlineLevel="1" x14ac:dyDescent="0.2">
      <c r="B46" s="62" t="s">
        <v>551</v>
      </c>
    </row>
    <row r="48" spans="2:9" ht="15.75" collapsed="1" x14ac:dyDescent="0.2">
      <c r="B48" s="59" t="str">
        <f>B6</f>
        <v>3. Doplnění nestandardních úprav a tzv. reklasifikací.</v>
      </c>
      <c r="C48" s="53"/>
      <c r="D48" s="53"/>
      <c r="E48" s="53"/>
      <c r="F48" s="53"/>
      <c r="G48" s="53"/>
      <c r="H48" s="54" t="s">
        <v>548</v>
      </c>
      <c r="I48" s="53"/>
    </row>
    <row r="49" spans="2:9" hidden="1" outlineLevel="1" x14ac:dyDescent="0.2">
      <c r="B49" s="60"/>
    </row>
    <row r="50" spans="2:9" hidden="1" outlineLevel="1" x14ac:dyDescent="0.2">
      <c r="B50" s="62" t="s">
        <v>561</v>
      </c>
    </row>
    <row r="51" spans="2:9" hidden="1" outlineLevel="1" x14ac:dyDescent="0.2">
      <c r="B51" s="62" t="s">
        <v>562</v>
      </c>
    </row>
    <row r="52" spans="2:9" hidden="1" outlineLevel="1" x14ac:dyDescent="0.2">
      <c r="B52" s="62"/>
    </row>
    <row r="53" spans="2:9" hidden="1" outlineLevel="1" x14ac:dyDescent="0.2">
      <c r="B53" s="62" t="s">
        <v>552</v>
      </c>
    </row>
    <row r="54" spans="2:9" hidden="1" outlineLevel="1" x14ac:dyDescent="0.2">
      <c r="B54" s="62" t="s">
        <v>553</v>
      </c>
    </row>
    <row r="55" spans="2:9" hidden="1" outlineLevel="1" x14ac:dyDescent="0.2">
      <c r="B55" s="62" t="s">
        <v>554</v>
      </c>
    </row>
    <row r="56" spans="2:9" hidden="1" outlineLevel="1" x14ac:dyDescent="0.2">
      <c r="B56" s="62" t="s">
        <v>555</v>
      </c>
    </row>
    <row r="57" spans="2:9" hidden="1" outlineLevel="1" x14ac:dyDescent="0.2">
      <c r="B57" s="62" t="s">
        <v>556</v>
      </c>
    </row>
    <row r="58" spans="2:9" hidden="1" outlineLevel="1" x14ac:dyDescent="0.2">
      <c r="B58" s="63" t="s">
        <v>557</v>
      </c>
    </row>
    <row r="60" spans="2:9" ht="15.75" collapsed="1" x14ac:dyDescent="0.2">
      <c r="B60" s="59" t="str">
        <f>B7</f>
        <v>4. Ruční přiřazení vybraných účtů do řádků účetních výkazů.</v>
      </c>
      <c r="C60" s="53"/>
      <c r="D60" s="53"/>
      <c r="E60" s="53"/>
      <c r="F60" s="53"/>
      <c r="G60" s="53"/>
      <c r="H60" s="54" t="s">
        <v>548</v>
      </c>
      <c r="I60" s="53"/>
    </row>
    <row r="61" spans="2:9" hidden="1" outlineLevel="1" x14ac:dyDescent="0.2">
      <c r="B61" s="60"/>
    </row>
    <row r="62" spans="2:9" hidden="1" outlineLevel="1" x14ac:dyDescent="0.2">
      <c r="B62" s="62" t="s">
        <v>558</v>
      </c>
    </row>
    <row r="63" spans="2:9" hidden="1" outlineLevel="1" x14ac:dyDescent="0.2">
      <c r="B63" s="62" t="s">
        <v>559</v>
      </c>
    </row>
    <row r="64" spans="2:9" hidden="1" outlineLevel="1" x14ac:dyDescent="0.2">
      <c r="B64" s="65" t="s">
        <v>565</v>
      </c>
    </row>
    <row r="65" spans="2:9" hidden="1" outlineLevel="1" x14ac:dyDescent="0.2">
      <c r="B65" s="64" t="s">
        <v>598</v>
      </c>
    </row>
    <row r="66" spans="2:9" hidden="1" outlineLevel="1" x14ac:dyDescent="0.2">
      <c r="B66" s="64" t="s">
        <v>564</v>
      </c>
    </row>
    <row r="67" spans="2:9" hidden="1" outlineLevel="1" x14ac:dyDescent="0.2">
      <c r="B67" s="62"/>
    </row>
    <row r="68" spans="2:9" hidden="1" outlineLevel="1" x14ac:dyDescent="0.2">
      <c r="B68" s="62" t="s">
        <v>599</v>
      </c>
    </row>
    <row r="69" spans="2:9" hidden="1" outlineLevel="1" x14ac:dyDescent="0.2">
      <c r="B69" s="62" t="s">
        <v>600</v>
      </c>
    </row>
    <row r="70" spans="2:9" hidden="1" outlineLevel="1" x14ac:dyDescent="0.2">
      <c r="B70" s="66" t="s">
        <v>565</v>
      </c>
    </row>
    <row r="71" spans="2:9" hidden="1" outlineLevel="1" x14ac:dyDescent="0.2">
      <c r="B71" s="64" t="s">
        <v>566</v>
      </c>
    </row>
    <row r="72" spans="2:9" hidden="1" outlineLevel="1" x14ac:dyDescent="0.2">
      <c r="B72" s="64" t="s">
        <v>568</v>
      </c>
    </row>
    <row r="73" spans="2:9" hidden="1" outlineLevel="1" x14ac:dyDescent="0.2">
      <c r="B73" s="64" t="s">
        <v>567</v>
      </c>
    </row>
    <row r="74" spans="2:9" hidden="1" outlineLevel="1" x14ac:dyDescent="0.2">
      <c r="B74" s="62" t="s">
        <v>601</v>
      </c>
    </row>
    <row r="75" spans="2:9" hidden="1" outlineLevel="1" x14ac:dyDescent="0.2">
      <c r="B75" s="65" t="s">
        <v>565</v>
      </c>
    </row>
    <row r="76" spans="2:9" ht="12.75" hidden="1" customHeight="1" outlineLevel="1" x14ac:dyDescent="0.2">
      <c r="B76" s="64" t="s">
        <v>609</v>
      </c>
      <c r="C76" s="64"/>
      <c r="D76" s="64"/>
      <c r="E76" s="64"/>
      <c r="F76" s="64"/>
      <c r="G76" s="64"/>
    </row>
    <row r="77" spans="2:9" ht="12.75" hidden="1" customHeight="1" outlineLevel="1" x14ac:dyDescent="0.2">
      <c r="B77" s="64" t="s">
        <v>610</v>
      </c>
      <c r="C77" s="167"/>
      <c r="D77" s="167"/>
      <c r="E77" s="167"/>
      <c r="F77" s="167"/>
      <c r="G77" s="167"/>
    </row>
    <row r="78" spans="2:9" hidden="1" outlineLevel="1" x14ac:dyDescent="0.2">
      <c r="B78" s="62"/>
    </row>
    <row r="79" spans="2:9" hidden="1" outlineLevel="1" x14ac:dyDescent="0.2">
      <c r="B79" s="62" t="s">
        <v>611</v>
      </c>
    </row>
    <row r="80" spans="2:9" hidden="1" outlineLevel="1" x14ac:dyDescent="0.2">
      <c r="B80" s="62" t="s">
        <v>612</v>
      </c>
      <c r="C80" s="62"/>
      <c r="D80" s="62"/>
      <c r="E80" s="62"/>
      <c r="F80" s="62"/>
      <c r="G80" s="62"/>
      <c r="H80" s="62"/>
      <c r="I80" s="62"/>
    </row>
    <row r="81" spans="2:9" hidden="1" outlineLevel="1" x14ac:dyDescent="0.2">
      <c r="B81" s="62" t="s">
        <v>613</v>
      </c>
      <c r="C81" s="168"/>
      <c r="D81" s="168"/>
      <c r="E81" s="168"/>
      <c r="F81" s="168"/>
      <c r="G81" s="168"/>
      <c r="H81" s="168"/>
      <c r="I81" s="168"/>
    </row>
    <row r="83" spans="2:9" ht="15.75" collapsed="1" x14ac:dyDescent="0.2">
      <c r="B83" s="59" t="str">
        <f>B8</f>
        <v>5. Kontrola a úprava zaokrouhlení.</v>
      </c>
      <c r="C83" s="53"/>
      <c r="D83" s="53"/>
      <c r="E83" s="53"/>
      <c r="F83" s="53"/>
      <c r="G83" s="53"/>
      <c r="H83" s="54" t="s">
        <v>541</v>
      </c>
      <c r="I83" s="53"/>
    </row>
    <row r="84" spans="2:9" ht="12.75" hidden="1" customHeight="1" outlineLevel="1" x14ac:dyDescent="0.2">
      <c r="B84" s="60"/>
    </row>
    <row r="85" spans="2:9" ht="12.75" hidden="1" customHeight="1" outlineLevel="1" x14ac:dyDescent="0.2">
      <c r="B85" s="62" t="s">
        <v>569</v>
      </c>
    </row>
    <row r="86" spans="2:9" ht="12.75" hidden="1" customHeight="1" outlineLevel="1" x14ac:dyDescent="0.2">
      <c r="B86" s="60" t="s">
        <v>570</v>
      </c>
    </row>
    <row r="87" spans="2:9" ht="12.75" hidden="1" customHeight="1" outlineLevel="1" x14ac:dyDescent="0.2">
      <c r="B87" s="60"/>
    </row>
    <row r="88" spans="2:9" ht="12.75" hidden="1" customHeight="1" outlineLevel="1" x14ac:dyDescent="0.2">
      <c r="B88" s="165" t="s">
        <v>602</v>
      </c>
    </row>
    <row r="89" spans="2:9" ht="12.75" hidden="1" customHeight="1" outlineLevel="1" x14ac:dyDescent="0.2">
      <c r="B89" s="60" t="s">
        <v>603</v>
      </c>
    </row>
    <row r="90" spans="2:9" ht="12.75" hidden="1" customHeight="1" outlineLevel="1" x14ac:dyDescent="0.2">
      <c r="B90" s="60"/>
    </row>
    <row r="91" spans="2:9" ht="12.75" hidden="1" customHeight="1" outlineLevel="1" x14ac:dyDescent="0.2">
      <c r="B91" s="60" t="s">
        <v>604</v>
      </c>
    </row>
    <row r="92" spans="2:9" ht="12.75" hidden="1" customHeight="1" outlineLevel="1" x14ac:dyDescent="0.2">
      <c r="B92" s="117" t="s">
        <v>605</v>
      </c>
    </row>
    <row r="93" spans="2:9" ht="12.75" hidden="1" customHeight="1" outlineLevel="1" x14ac:dyDescent="0.2">
      <c r="B93" s="60"/>
    </row>
    <row r="94" spans="2:9" ht="12.75" hidden="1" customHeight="1" outlineLevel="1" x14ac:dyDescent="0.2">
      <c r="B94" s="60"/>
    </row>
    <row r="95" spans="2:9" ht="12.75" hidden="1" customHeight="1" outlineLevel="1" x14ac:dyDescent="0.2">
      <c r="B95" s="60"/>
    </row>
    <row r="96" spans="2:9" ht="12.75" hidden="1" customHeight="1" outlineLevel="1" x14ac:dyDescent="0.2">
      <c r="B96" s="62" t="s">
        <v>614</v>
      </c>
    </row>
    <row r="97" spans="2:2" s="55" customFormat="1" ht="12.75" hidden="1" customHeight="1" outlineLevel="1" x14ac:dyDescent="0.2">
      <c r="B97" s="62" t="s">
        <v>615</v>
      </c>
    </row>
    <row r="98" spans="2:2" s="55" customFormat="1" ht="12.75" hidden="1" customHeight="1" outlineLevel="1" x14ac:dyDescent="0.2">
      <c r="B98" s="62" t="s">
        <v>607</v>
      </c>
    </row>
    <row r="99" spans="2:2" s="55" customFormat="1" ht="12.75" hidden="1" customHeight="1" outlineLevel="1" x14ac:dyDescent="0.2">
      <c r="B99" s="60"/>
    </row>
    <row r="100" spans="2:2" s="55" customFormat="1" ht="12.75" hidden="1" customHeight="1" outlineLevel="1" x14ac:dyDescent="0.2">
      <c r="B100" s="165" t="s">
        <v>606</v>
      </c>
    </row>
    <row r="101" spans="2:2" s="55" customFormat="1" ht="12.75" hidden="1" customHeight="1" outlineLevel="1" x14ac:dyDescent="0.2">
      <c r="B101" s="60"/>
    </row>
    <row r="102" spans="2:2" s="55" customFormat="1" ht="12.75" hidden="1" customHeight="1" outlineLevel="1" x14ac:dyDescent="0.2">
      <c r="B102" s="62" t="s">
        <v>574</v>
      </c>
    </row>
    <row r="103" spans="2:2" s="55" customFormat="1" ht="12.75" hidden="1" customHeight="1" outlineLevel="1" x14ac:dyDescent="0.2">
      <c r="B103" s="62" t="s">
        <v>575</v>
      </c>
    </row>
    <row r="104" spans="2:2" s="55" customFormat="1" ht="12.75" hidden="1" customHeight="1" outlineLevel="1" x14ac:dyDescent="0.2">
      <c r="B104" s="60"/>
    </row>
    <row r="105" spans="2:2" s="55" customFormat="1" ht="12.75" hidden="1" customHeight="1" outlineLevel="1" x14ac:dyDescent="0.2">
      <c r="B105" s="62" t="s">
        <v>571</v>
      </c>
    </row>
    <row r="106" spans="2:2" s="55" customFormat="1" ht="12.75" hidden="1" customHeight="1" outlineLevel="1" x14ac:dyDescent="0.2">
      <c r="B106" s="62" t="s">
        <v>572</v>
      </c>
    </row>
    <row r="107" spans="2:2" s="55" customFormat="1" ht="12.75" hidden="1" customHeight="1" outlineLevel="1" x14ac:dyDescent="0.2">
      <c r="B107" s="62" t="s">
        <v>573</v>
      </c>
    </row>
    <row r="108" spans="2:2" s="55" customFormat="1" ht="12.75" hidden="1" customHeight="1" outlineLevel="1" x14ac:dyDescent="0.2">
      <c r="B108" s="62" t="s">
        <v>576</v>
      </c>
    </row>
    <row r="109" spans="2:2" s="55" customFormat="1" ht="12.75" hidden="1" customHeight="1" outlineLevel="1" x14ac:dyDescent="0.2">
      <c r="B109" s="62" t="s">
        <v>580</v>
      </c>
    </row>
    <row r="110" spans="2:2" s="55" customFormat="1" ht="12.75" hidden="1" customHeight="1" outlineLevel="1" x14ac:dyDescent="0.2">
      <c r="B110" s="60" t="s">
        <v>577</v>
      </c>
    </row>
    <row r="111" spans="2:2" s="55" customFormat="1" ht="12.75" hidden="1" customHeight="1" outlineLevel="1" x14ac:dyDescent="0.2">
      <c r="B111" s="60" t="s">
        <v>578</v>
      </c>
    </row>
    <row r="112" spans="2:2" s="55" customFormat="1" ht="12.75" hidden="1" customHeight="1" outlineLevel="1" x14ac:dyDescent="0.2">
      <c r="B112" s="117" t="s">
        <v>579</v>
      </c>
    </row>
    <row r="113" spans="2:2" s="55" customFormat="1" ht="12.75" hidden="1" customHeight="1" outlineLevel="1" x14ac:dyDescent="0.2">
      <c r="B113" s="60"/>
    </row>
    <row r="114" spans="2:2" s="55" customFormat="1" ht="12.75" hidden="1" customHeight="1" outlineLevel="1" x14ac:dyDescent="0.2">
      <c r="B114" s="60"/>
    </row>
    <row r="115" spans="2:2" s="55" customFormat="1" ht="12.75" hidden="1" customHeight="1" outlineLevel="1" x14ac:dyDescent="0.2">
      <c r="B115" s="166"/>
    </row>
    <row r="116" spans="2:2" s="55" customFormat="1" x14ac:dyDescent="0.2">
      <c r="B116" s="166"/>
    </row>
  </sheetData>
  <mergeCells count="2">
    <mergeCell ref="B3:I3"/>
    <mergeCell ref="B11:H11"/>
  </mergeCells>
  <pageMargins left="0.39370078740157483" right="0.39370078740157483" top="0.39370078740157483" bottom="0.39370078740157483" header="0" footer="0"/>
  <pageSetup paperSize="9" scale="90" orientation="landscape" r:id="rId1"/>
  <headerFooter scaleWithDoc="0" alignWithMargins="0">
    <oddFooter>&amp;L&amp;G&amp;C&amp;"-,Obyčejné"&amp;8&amp;K00-049Tisk: &amp;D &amp;T&amp;R&amp;"-,Obyčejné"&amp;8&amp;K00-049&amp;F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5"/>
    <pageSetUpPr fitToPage="1"/>
  </sheetPr>
  <dimension ref="A1:N48"/>
  <sheetViews>
    <sheetView showGridLines="0" showRowColHeaders="0" tabSelected="1" zoomScaleNormal="100" workbookViewId="0">
      <selection activeCell="E17" sqref="E17"/>
    </sheetView>
  </sheetViews>
  <sheetFormatPr defaultColWidth="0" defaultRowHeight="12.75" zeroHeight="1" x14ac:dyDescent="0.2"/>
  <cols>
    <col min="1" max="1" width="3.7109375" style="11" customWidth="1"/>
    <col min="2" max="2" width="25.42578125" style="11" customWidth="1"/>
    <col min="3" max="5" width="20.7109375" style="11" customWidth="1"/>
    <col min="6" max="6" width="3.140625" style="11" customWidth="1"/>
    <col min="7" max="7" width="4.7109375" style="11" customWidth="1"/>
    <col min="8" max="8" width="3.7109375" style="11" customWidth="1"/>
    <col min="9" max="9" width="8" style="11" hidden="1" customWidth="1"/>
    <col min="10" max="10" width="12.5703125" style="11" hidden="1" customWidth="1"/>
    <col min="11" max="11" width="18.140625" style="11" hidden="1" customWidth="1"/>
    <col min="12" max="12" width="24.7109375" style="11" hidden="1" customWidth="1"/>
    <col min="13" max="14" width="12.5703125" style="11" hidden="1" customWidth="1"/>
    <col min="15" max="16384" width="9.140625" style="11" hidden="1"/>
  </cols>
  <sheetData>
    <row r="1" spans="1:7" x14ac:dyDescent="0.2"/>
    <row r="2" spans="1:7" s="219" customFormat="1" ht="15.75" x14ac:dyDescent="0.2">
      <c r="B2" s="220" t="s">
        <v>286</v>
      </c>
      <c r="C2" s="220" t="s">
        <v>647</v>
      </c>
    </row>
    <row r="3" spans="1:7" x14ac:dyDescent="0.2"/>
    <row r="4" spans="1:7" x14ac:dyDescent="0.2">
      <c r="B4" s="187" t="s">
        <v>285</v>
      </c>
      <c r="C4" s="201"/>
      <c r="D4" s="260"/>
      <c r="E4" s="261"/>
      <c r="F4" s="68"/>
      <c r="G4" s="68"/>
    </row>
    <row r="5" spans="1:7" x14ac:dyDescent="0.2">
      <c r="B5" s="187"/>
      <c r="C5" s="260"/>
      <c r="D5" s="261"/>
      <c r="E5" s="261"/>
      <c r="F5" s="68"/>
      <c r="G5" s="68"/>
    </row>
    <row r="6" spans="1:7" x14ac:dyDescent="0.2">
      <c r="B6" s="187" t="s">
        <v>334</v>
      </c>
      <c r="C6" s="553"/>
      <c r="D6" s="553"/>
      <c r="E6" s="553"/>
    </row>
    <row r="7" spans="1:7" x14ac:dyDescent="0.2">
      <c r="B7" s="187"/>
      <c r="C7" s="260"/>
      <c r="D7" s="261"/>
      <c r="E7" s="261"/>
      <c r="F7" s="68"/>
      <c r="G7" s="68"/>
    </row>
    <row r="8" spans="1:7" x14ac:dyDescent="0.2">
      <c r="B8" s="187" t="s">
        <v>642</v>
      </c>
      <c r="C8" s="553"/>
      <c r="D8" s="553"/>
      <c r="E8" s="553"/>
    </row>
    <row r="9" spans="1:7" x14ac:dyDescent="0.2">
      <c r="C9" s="260"/>
      <c r="D9" s="262"/>
      <c r="E9" s="262"/>
      <c r="F9" s="27"/>
      <c r="G9" s="27"/>
    </row>
    <row r="10" spans="1:7" x14ac:dyDescent="0.2">
      <c r="C10" s="260"/>
      <c r="D10" s="263" t="s">
        <v>336</v>
      </c>
      <c r="E10" s="263" t="s">
        <v>337</v>
      </c>
      <c r="F10" s="27"/>
      <c r="G10" s="27"/>
    </row>
    <row r="11" spans="1:7" s="25" customFormat="1" x14ac:dyDescent="0.2">
      <c r="A11" s="11"/>
      <c r="B11" s="218" t="s">
        <v>335</v>
      </c>
      <c r="C11" s="264"/>
      <c r="D11" s="203"/>
      <c r="E11" s="204"/>
      <c r="F11" s="206"/>
      <c r="G11" s="206"/>
    </row>
    <row r="12" spans="1:7" x14ac:dyDescent="0.2">
      <c r="B12" s="27"/>
      <c r="C12" s="262"/>
      <c r="D12" s="262"/>
      <c r="E12" s="262"/>
      <c r="F12" s="27"/>
      <c r="G12" s="551" t="s">
        <v>616</v>
      </c>
    </row>
    <row r="13" spans="1:7" x14ac:dyDescent="0.2">
      <c r="B13" s="218" t="s">
        <v>646</v>
      </c>
      <c r="C13" s="265" t="s">
        <v>650</v>
      </c>
      <c r="D13" s="265"/>
      <c r="E13" s="202"/>
      <c r="F13" s="27"/>
      <c r="G13" s="552"/>
    </row>
    <row r="14" spans="1:7" x14ac:dyDescent="0.2">
      <c r="B14" s="27"/>
      <c r="C14" s="265"/>
      <c r="D14" s="265"/>
      <c r="E14" s="262"/>
      <c r="F14" s="27"/>
      <c r="G14" s="552"/>
    </row>
    <row r="15" spans="1:7" x14ac:dyDescent="0.2">
      <c r="B15" s="218" t="s">
        <v>546</v>
      </c>
      <c r="C15" s="265" t="s">
        <v>651</v>
      </c>
      <c r="D15" s="265"/>
      <c r="E15" s="236"/>
      <c r="F15" s="205">
        <f>IF(E15="tisíce",1000,IF(E15="miliony",1000000,1))</f>
        <v>1</v>
      </c>
      <c r="G15" s="552"/>
    </row>
    <row r="16" spans="1:7" x14ac:dyDescent="0.2">
      <c r="B16" s="27"/>
      <c r="C16" s="265"/>
      <c r="D16" s="265"/>
      <c r="E16" s="262"/>
      <c r="G16" s="552"/>
    </row>
    <row r="17" spans="1:13" x14ac:dyDescent="0.2">
      <c r="B17" s="218" t="s">
        <v>547</v>
      </c>
      <c r="C17" s="265" t="s">
        <v>643</v>
      </c>
      <c r="D17" s="265"/>
      <c r="E17" s="236" t="s">
        <v>1011</v>
      </c>
      <c r="G17" s="552"/>
      <c r="I17" s="11">
        <v>1</v>
      </c>
      <c r="J17" s="11" t="str">
        <f>IF(jazyk="česky",K17,IF(jazyk="anglicky",L17,IF(jazyk="německy",M17,"-")))</f>
        <v>v celých Kč</v>
      </c>
      <c r="K17" s="30" t="s">
        <v>504</v>
      </c>
      <c r="L17" s="30" t="s">
        <v>507</v>
      </c>
      <c r="M17" s="30" t="s">
        <v>509</v>
      </c>
    </row>
    <row r="18" spans="1:13" x14ac:dyDescent="0.2">
      <c r="I18" s="11">
        <v>1000</v>
      </c>
      <c r="J18" s="11" t="str">
        <f>IF(jazyk="česky",K18,IF(jazyk="anglicky",L18,IF(jazyk="německy",M18,"-")))</f>
        <v>v celých tisících Kč</v>
      </c>
      <c r="K18" s="30" t="s">
        <v>505</v>
      </c>
      <c r="L18" s="30" t="s">
        <v>506</v>
      </c>
      <c r="M18" s="30" t="s">
        <v>508</v>
      </c>
    </row>
    <row r="19" spans="1:13" s="185" customFormat="1" ht="11.25" x14ac:dyDescent="0.2">
      <c r="A19" s="221"/>
      <c r="B19" s="221"/>
      <c r="C19" s="221"/>
      <c r="D19" s="237"/>
      <c r="E19" s="237"/>
      <c r="F19" s="221"/>
      <c r="G19" s="221"/>
      <c r="H19" s="221"/>
    </row>
    <row r="20" spans="1:13" ht="15.75" x14ac:dyDescent="0.25">
      <c r="A20" s="223"/>
      <c r="B20" s="227" t="s">
        <v>584</v>
      </c>
      <c r="C20" s="227"/>
      <c r="D20" s="228" t="s">
        <v>641</v>
      </c>
      <c r="E20" s="229" t="str">
        <f>IF(OR(ISNUMBER(D21),ISNUMBER(D22)),"označení chyb ve sloupci R, list DATA","")</f>
        <v>označení chyb ve sloupci R, list DATA</v>
      </c>
      <c r="F20" s="224"/>
      <c r="G20" s="31"/>
      <c r="H20" s="223"/>
    </row>
    <row r="21" spans="1:13" x14ac:dyDescent="0.2">
      <c r="A21" s="31"/>
      <c r="B21" s="232" t="s">
        <v>582</v>
      </c>
      <c r="C21" s="232"/>
      <c r="D21" s="243">
        <f>IF(COUNTIFS(data!O:O,"účet n/a")&gt;0,COUNTIFS(data!O:O,"účet n/a"),0)</f>
        <v>0</v>
      </c>
      <c r="E21" s="244" t="str">
        <f>IF(D21=0,"-"," ")</f>
        <v>-</v>
      </c>
      <c r="F21" s="241" t="str">
        <f>IF(D21=0,"ok","!")</f>
        <v>ok</v>
      </c>
      <c r="G21" s="31"/>
      <c r="H21" s="31"/>
    </row>
    <row r="22" spans="1:13" x14ac:dyDescent="0.2">
      <c r="A22" s="31"/>
      <c r="B22" s="245" t="s">
        <v>583</v>
      </c>
      <c r="C22" s="245"/>
      <c r="D22" s="247">
        <f>IF(COUNTIFS(data!O:O,"doplnit",data!S:S,"-")&gt;0,COUNTIFS(data!O:O,"doplnit",data!S:S,"-"),0)</f>
        <v>0</v>
      </c>
      <c r="E22" s="248" t="str">
        <f>IF(D22=0,"-"," ")</f>
        <v>-</v>
      </c>
      <c r="F22" s="249" t="str">
        <f>IF(D22=0,"ok","!")</f>
        <v>ok</v>
      </c>
      <c r="G22" s="31"/>
      <c r="H22" s="31"/>
    </row>
    <row r="23" spans="1:13" s="207" customFormat="1" ht="11.25" x14ac:dyDescent="0.2">
      <c r="A23" s="221"/>
      <c r="B23" s="238"/>
      <c r="C23" s="238"/>
      <c r="D23" s="239"/>
      <c r="E23" s="239"/>
      <c r="F23" s="222"/>
      <c r="G23" s="221"/>
      <c r="H23" s="221"/>
    </row>
    <row r="24" spans="1:13" ht="15.75" x14ac:dyDescent="0.2">
      <c r="A24" s="31"/>
      <c r="B24" s="231" t="s">
        <v>585</v>
      </c>
      <c r="C24" s="231"/>
      <c r="D24" s="230" t="str">
        <f>D10</f>
        <v>Běžné</v>
      </c>
      <c r="E24" s="230" t="str">
        <f>E10</f>
        <v>Minulé</v>
      </c>
      <c r="F24" s="224"/>
      <c r="G24" s="31"/>
      <c r="H24" s="31"/>
    </row>
    <row r="25" spans="1:13" x14ac:dyDescent="0.2">
      <c r="A25" s="31"/>
      <c r="B25" s="232" t="s">
        <v>330</v>
      </c>
      <c r="C25" s="232"/>
      <c r="D25" s="226">
        <f>AKTIVA!O8</f>
        <v>0</v>
      </c>
      <c r="E25" s="226">
        <f>AKTIVA!P8</f>
        <v>0</v>
      </c>
      <c r="F25" s="224"/>
      <c r="G25" s="31"/>
      <c r="H25" s="31"/>
    </row>
    <row r="26" spans="1:13" x14ac:dyDescent="0.2">
      <c r="A26" s="31"/>
      <c r="B26" s="233" t="s">
        <v>331</v>
      </c>
      <c r="C26" s="233"/>
      <c r="D26" s="226">
        <f>PASIVA!L8</f>
        <v>0</v>
      </c>
      <c r="E26" s="226">
        <f>PASIVA!M8</f>
        <v>0</v>
      </c>
      <c r="F26" s="224"/>
      <c r="G26" s="31"/>
      <c r="H26" s="31"/>
    </row>
    <row r="27" spans="1:13" x14ac:dyDescent="0.2">
      <c r="A27" s="31"/>
      <c r="B27" s="245" t="s">
        <v>645</v>
      </c>
      <c r="C27" s="245"/>
      <c r="D27" s="246">
        <f>ROUND(D25-D26,2)</f>
        <v>0</v>
      </c>
      <c r="E27" s="246">
        <f>ROUND(E25-E26,2)</f>
        <v>0</v>
      </c>
      <c r="F27" s="249" t="str">
        <f>IF(D27+E27=0,"ok","!")</f>
        <v>ok</v>
      </c>
      <c r="G27" s="31"/>
      <c r="H27" s="31"/>
    </row>
    <row r="28" spans="1:13" x14ac:dyDescent="0.2">
      <c r="A28" s="31"/>
      <c r="B28" s="234" t="s">
        <v>332</v>
      </c>
      <c r="C28" s="234"/>
      <c r="D28" s="226">
        <f>VYSLEDOVKA!M62</f>
        <v>0</v>
      </c>
      <c r="E28" s="226">
        <f>VYSLEDOVKA!N62</f>
        <v>0</v>
      </c>
      <c r="F28" s="224"/>
      <c r="G28" s="31"/>
      <c r="H28" s="31"/>
    </row>
    <row r="29" spans="1:13" x14ac:dyDescent="0.2">
      <c r="A29" s="31"/>
      <c r="B29" s="232" t="s">
        <v>333</v>
      </c>
      <c r="C29" s="232"/>
      <c r="D29" s="226">
        <f>PASIVA!L29</f>
        <v>0</v>
      </c>
      <c r="E29" s="226">
        <f>PASIVA!M29</f>
        <v>0</v>
      </c>
      <c r="F29" s="224"/>
      <c r="G29" s="31"/>
      <c r="H29" s="31"/>
    </row>
    <row r="30" spans="1:13" x14ac:dyDescent="0.2">
      <c r="A30" s="31"/>
      <c r="B30" s="245" t="s">
        <v>644</v>
      </c>
      <c r="C30" s="245"/>
      <c r="D30" s="246">
        <f>ROUND(D28-D29,2)</f>
        <v>0</v>
      </c>
      <c r="E30" s="246">
        <f>ROUND(E28-E29,2)</f>
        <v>0</v>
      </c>
      <c r="F30" s="249" t="str">
        <f>IF(D30+E30=0,"ok","!")</f>
        <v>ok</v>
      </c>
      <c r="G30" s="31"/>
      <c r="H30" s="31"/>
    </row>
    <row r="31" spans="1:13" s="207" customFormat="1" ht="11.25" x14ac:dyDescent="0.2">
      <c r="A31" s="221"/>
      <c r="B31" s="240"/>
      <c r="C31" s="240"/>
      <c r="D31" s="240"/>
      <c r="E31" s="240"/>
      <c r="F31" s="222"/>
      <c r="G31" s="221"/>
      <c r="H31" s="221"/>
    </row>
    <row r="32" spans="1:13" ht="15.75" x14ac:dyDescent="0.2">
      <c r="A32" s="31"/>
      <c r="B32" s="231" t="s">
        <v>648</v>
      </c>
      <c r="C32" s="231"/>
      <c r="D32" s="230" t="str">
        <f>D10</f>
        <v>Běžné</v>
      </c>
      <c r="E32" s="230" t="str">
        <f>E10</f>
        <v>Minulé</v>
      </c>
      <c r="F32" s="224"/>
      <c r="G32" s="31"/>
      <c r="H32" s="31"/>
    </row>
    <row r="33" spans="1:8" x14ac:dyDescent="0.2">
      <c r="A33" s="31"/>
      <c r="B33" s="232" t="s">
        <v>330</v>
      </c>
      <c r="C33" s="232"/>
      <c r="D33" s="226">
        <f>AKTIVA!R7</f>
        <v>0</v>
      </c>
      <c r="E33" s="226">
        <f>AKTIVA!S7</f>
        <v>0</v>
      </c>
      <c r="F33" s="241" t="str">
        <f t="shared" ref="F33:F35" si="0">IF(D33+E33=0,"ok","!")</f>
        <v>ok</v>
      </c>
      <c r="G33" s="31"/>
      <c r="H33" s="31"/>
    </row>
    <row r="34" spans="1:8" x14ac:dyDescent="0.2">
      <c r="A34" s="31"/>
      <c r="B34" s="232" t="s">
        <v>331</v>
      </c>
      <c r="C34" s="232"/>
      <c r="D34" s="226">
        <f>PASIVA!O7</f>
        <v>0</v>
      </c>
      <c r="E34" s="226">
        <f>PASIVA!P7</f>
        <v>0</v>
      </c>
      <c r="F34" s="242" t="str">
        <f t="shared" si="0"/>
        <v>ok</v>
      </c>
      <c r="G34" s="31"/>
      <c r="H34" s="31"/>
    </row>
    <row r="35" spans="1:8" x14ac:dyDescent="0.2">
      <c r="A35" s="31"/>
      <c r="B35" s="235" t="s">
        <v>649</v>
      </c>
      <c r="C35" s="235"/>
      <c r="D35" s="246">
        <f>VYSLEDOVKA!P7</f>
        <v>0</v>
      </c>
      <c r="E35" s="246">
        <f>VYSLEDOVKA!Q7</f>
        <v>0</v>
      </c>
      <c r="F35" s="250" t="str">
        <f t="shared" si="0"/>
        <v>ok</v>
      </c>
      <c r="G35" s="31"/>
      <c r="H35" s="31"/>
    </row>
    <row r="36" spans="1:8" x14ac:dyDescent="0.2">
      <c r="A36" s="31"/>
      <c r="B36" s="225"/>
      <c r="C36" s="225"/>
      <c r="D36" s="226"/>
      <c r="E36" s="226"/>
      <c r="F36" s="224"/>
      <c r="G36" s="31"/>
      <c r="H36" s="31"/>
    </row>
    <row r="37" spans="1:8" hidden="1" x14ac:dyDescent="0.2"/>
    <row r="38" spans="1:8" hidden="1" x14ac:dyDescent="0.2"/>
    <row r="39" spans="1:8" hidden="1" x14ac:dyDescent="0.2"/>
    <row r="40" spans="1:8" hidden="1" x14ac:dyDescent="0.2"/>
    <row r="41" spans="1:8" hidden="1" x14ac:dyDescent="0.2"/>
    <row r="42" spans="1:8" hidden="1" x14ac:dyDescent="0.2"/>
    <row r="43" spans="1:8" hidden="1" x14ac:dyDescent="0.2"/>
    <row r="44" spans="1:8" hidden="1" x14ac:dyDescent="0.2"/>
    <row r="45" spans="1:8" hidden="1" x14ac:dyDescent="0.2"/>
    <row r="46" spans="1:8" hidden="1" x14ac:dyDescent="0.2"/>
    <row r="47" spans="1:8" hidden="1" x14ac:dyDescent="0.2"/>
    <row r="48" spans="1:8" hidden="1" x14ac:dyDescent="0.2"/>
  </sheetData>
  <sheetProtection password="DD47" sheet="1" objects="1" scenarios="1" selectLockedCells="1"/>
  <mergeCells count="3">
    <mergeCell ref="G12:G17"/>
    <mergeCell ref="C6:E6"/>
    <mergeCell ref="C8:E8"/>
  </mergeCells>
  <conditionalFormatting sqref="E21">
    <cfRule type="cellIs" dxfId="313" priority="19" operator="equal">
      <formula>" "</formula>
    </cfRule>
  </conditionalFormatting>
  <conditionalFormatting sqref="E22">
    <cfRule type="cellIs" dxfId="312" priority="18" operator="equal">
      <formula>" "</formula>
    </cfRule>
  </conditionalFormatting>
  <conditionalFormatting sqref="C4 C6:E6 C8:E8 D11:E11 E13 E15 E17">
    <cfRule type="containsBlanks" dxfId="311" priority="15">
      <formula>LEN(TRIM(C4))=0</formula>
    </cfRule>
  </conditionalFormatting>
  <conditionalFormatting sqref="D21:D22">
    <cfRule type="expression" dxfId="310" priority="4">
      <formula>$F21="ok"</formula>
    </cfRule>
    <cfRule type="expression" dxfId="309" priority="5">
      <formula>$F21="!"</formula>
    </cfRule>
  </conditionalFormatting>
  <conditionalFormatting sqref="D27:E27 D30:E30 D33:E35">
    <cfRule type="cellIs" dxfId="308" priority="20" operator="notEqual">
      <formula>0</formula>
    </cfRule>
    <cfRule type="cellIs" dxfId="307" priority="21" operator="equal">
      <formula>0</formula>
    </cfRule>
  </conditionalFormatting>
  <conditionalFormatting sqref="F21:F22 F27 F30 F33:F35">
    <cfRule type="containsText" dxfId="306" priority="7" operator="containsText" text="!">
      <formula>NOT(ISERROR(SEARCH("!",F21)))</formula>
    </cfRule>
    <cfRule type="containsText" dxfId="305" priority="8" operator="containsText" text="ok">
      <formula>NOT(ISERROR(SEARCH("ok",F21)))</formula>
    </cfRule>
  </conditionalFormatting>
  <dataValidations count="2">
    <dataValidation type="list" allowBlank="1" showInputMessage="1" showErrorMessage="1" sqref="E15">
      <formula1>"jednotky,tisíce,miliony"</formula1>
    </dataValidation>
    <dataValidation type="list" allowBlank="1" showInputMessage="1" showErrorMessage="1" sqref="E17">
      <formula1>"česky"</formula1>
    </dataValidation>
  </dataValidations>
  <pageMargins left="0.39370078740157483" right="0.39370078740157483" top="0.39370078740157483" bottom="0.39370078740157483" header="0" footer="0"/>
  <pageSetup paperSize="9" scale="98" orientation="portrait" r:id="rId1"/>
  <headerFooter scaleWithDoc="0">
    <oddFooter>&amp;L&amp;G&amp;C&amp;"-,Obyčejné"&amp;8&amp;K00-049Tisk: &amp;D &amp;T&amp;R&amp;"-,Obyčejné"&amp;8&amp;K00-049&amp;F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4"/>
    <outlinePr summaryBelow="0" summaryRight="0"/>
    <pageSetUpPr fitToPage="1"/>
  </sheetPr>
  <dimension ref="B1:Y7"/>
  <sheetViews>
    <sheetView showGridLines="0" workbookViewId="0">
      <pane ySplit="1" topLeftCell="A2" activePane="bottomLeft" state="frozen"/>
      <selection activeCell="B3" sqref="B3"/>
      <selection pane="bottomLeft" activeCell="B2" sqref="B2"/>
    </sheetView>
  </sheetViews>
  <sheetFormatPr defaultColWidth="9.140625" defaultRowHeight="11.25" outlineLevelCol="1" x14ac:dyDescent="0.2"/>
  <cols>
    <col min="1" max="1" width="1.7109375" style="188" customWidth="1"/>
    <col min="2" max="2" width="6.5703125" style="49" bestFit="1" customWidth="1"/>
    <col min="3" max="3" width="8.7109375" style="49" bestFit="1" customWidth="1"/>
    <col min="4" max="4" width="6.28515625" style="49" bestFit="1" customWidth="1"/>
    <col min="5" max="5" width="26.5703125" style="49" customWidth="1"/>
    <col min="6" max="6" width="12.7109375" style="50" bestFit="1" customWidth="1"/>
    <col min="7" max="7" width="9.5703125" style="50" bestFit="1" customWidth="1"/>
    <col min="8" max="8" width="9.7109375" style="50" bestFit="1" customWidth="1"/>
    <col min="9" max="9" width="13.140625" style="51" bestFit="1" customWidth="1" collapsed="1"/>
    <col min="10" max="10" width="41.28515625" style="251" hidden="1" customWidth="1" outlineLevel="1"/>
    <col min="11" max="11" width="6.7109375" style="252" customWidth="1" collapsed="1"/>
    <col min="12" max="12" width="54.7109375" style="253" hidden="1" customWidth="1" outlineLevel="1"/>
    <col min="13" max="13" width="8.5703125" style="251" bestFit="1" customWidth="1"/>
    <col min="14" max="14" width="8.7109375" style="251" customWidth="1"/>
    <col min="15" max="15" width="7" style="252" customWidth="1" collapsed="1"/>
    <col min="16" max="16" width="7.5703125" style="252" hidden="1" customWidth="1" outlineLevel="1"/>
    <col min="17" max="17" width="7.42578125" style="252" hidden="1" customWidth="1" outlineLevel="1"/>
    <col min="18" max="18" width="8" style="254" bestFit="1" customWidth="1"/>
    <col min="19" max="19" width="7" style="255" bestFit="1" customWidth="1" collapsed="1"/>
    <col min="20" max="20" width="37.140625" style="256" hidden="1" customWidth="1" outlineLevel="1"/>
    <col min="21" max="21" width="5.5703125" style="257" customWidth="1"/>
    <col min="22" max="22" width="4.85546875" style="257" customWidth="1" collapsed="1"/>
    <col min="23" max="23" width="33.5703125" style="258" hidden="1" customWidth="1" outlineLevel="1"/>
    <col min="24" max="24" width="10.85546875" style="253" bestFit="1" customWidth="1"/>
    <col min="25" max="25" width="11.5703125" style="259" bestFit="1" customWidth="1"/>
    <col min="26" max="16384" width="9.140625" style="188"/>
  </cols>
  <sheetData>
    <row r="1" spans="2:25" s="2" customFormat="1" x14ac:dyDescent="0.2">
      <c r="B1" s="38" t="s">
        <v>532</v>
      </c>
      <c r="C1" s="38" t="s">
        <v>228</v>
      </c>
      <c r="D1" s="38" t="s">
        <v>314</v>
      </c>
      <c r="E1" s="38" t="s">
        <v>227</v>
      </c>
      <c r="F1" s="39" t="s">
        <v>521</v>
      </c>
      <c r="G1" s="52" t="s">
        <v>522</v>
      </c>
      <c r="H1" s="52" t="s">
        <v>523</v>
      </c>
      <c r="I1" s="40" t="s">
        <v>226</v>
      </c>
      <c r="J1" s="35" t="s">
        <v>531</v>
      </c>
      <c r="K1" s="4" t="s">
        <v>315</v>
      </c>
      <c r="L1" s="4" t="s">
        <v>530</v>
      </c>
      <c r="M1" s="35" t="s">
        <v>231</v>
      </c>
      <c r="N1" s="35" t="s">
        <v>302</v>
      </c>
      <c r="O1" s="4" t="s">
        <v>524</v>
      </c>
      <c r="P1" s="4" t="s">
        <v>525</v>
      </c>
      <c r="Q1" s="4" t="s">
        <v>526</v>
      </c>
      <c r="R1" s="45" t="s">
        <v>527</v>
      </c>
      <c r="S1" s="4" t="s">
        <v>528</v>
      </c>
      <c r="T1" s="15" t="s">
        <v>529</v>
      </c>
      <c r="U1" s="20" t="s">
        <v>517</v>
      </c>
      <c r="V1" s="20" t="s">
        <v>518</v>
      </c>
      <c r="W1" s="118" t="s">
        <v>519</v>
      </c>
      <c r="X1" s="4" t="s">
        <v>252</v>
      </c>
      <c r="Y1" s="7" t="s">
        <v>329</v>
      </c>
    </row>
    <row r="2" spans="2:25" s="1" customFormat="1" ht="11.25" customHeight="1" x14ac:dyDescent="0.2">
      <c r="B2" s="47"/>
      <c r="C2" s="41"/>
      <c r="D2" s="42"/>
      <c r="E2" s="42"/>
      <c r="F2" s="43"/>
      <c r="G2" s="43"/>
      <c r="H2" s="43"/>
      <c r="I2" s="44"/>
      <c r="J2" s="16" t="str">
        <f t="shared" ref="J2" si="0">CONCATENATE(D2," ",E2)</f>
        <v xml:space="preserve"> </v>
      </c>
      <c r="K2" s="3" t="str">
        <f>IF(I2=0,"-",VALUE(LEFT(D2,LEN(D2)-(INDEX!$E$13-3))))</f>
        <v>-</v>
      </c>
      <c r="L2" s="5" t="str">
        <f>IF(I2=0,"-",VLOOKUP(K2,ucty_synt!A:B,2,0))</f>
        <v>-</v>
      </c>
      <c r="M2" s="16" t="str">
        <f>IF(S2="-","-",VLOOKUP(K2,ucty_synt!A:S,3,0))</f>
        <v>-</v>
      </c>
      <c r="N2" s="16" t="str">
        <f>IF(I2=0,"-",IF(M2="Rozvaha",VLOOKUP(S2,radky_R!A:O,6,0),IF(M2="Výsledovka",VLOOKUP(S2,radky_V!A:M,6,0),"-")))</f>
        <v>-</v>
      </c>
      <c r="O2" s="3" t="str">
        <f>IF(I2=0,"-",IF(COUNTIF(ucty_synt!A:A,K2)=0,"účet n/a",IF(VLOOKUP(K2,ucty_synt!A:S,4,0)=RIGHT($P$1,5),"podle AÚ",IF(VLOOKUP(K2,ucty_synt!A:S,4,0)=RIGHT($Q$1,5),"podle SÚ",IF(SUMIF(ucty_synt!A:A,K2,ucty_synt!E:E)&lt;&gt;0,VLOOKUP(K2,ucty_synt!A:T,5,0),"doplnit")))))</f>
        <v>-</v>
      </c>
      <c r="P2" s="3" t="str">
        <f>IF(I2=0,"-",IF(VLOOKUP(K2,ucty_synt!A:S,4,0)=RIGHT($P$1,5),IF(SUMIFS(I:I,C:C,C2,D:D,D2)&gt;=0,VLOOKUP(K2,ucty_synt!A:E,5,0),VLOOKUP(K2,ucty_synt!A:L,12,0)),"-"))</f>
        <v>-</v>
      </c>
      <c r="Q2" s="3" t="str">
        <f>IF(I2=0,"-",IF(VLOOKUP(K2,ucty_synt!A:S,4,0)=RIGHT($Q$1,5),IF(SUMIFS(I:I,C:C,C2,K:K,K2)&gt;=0,VLOOKUP(K2,ucty_synt!A:E,5,0),VLOOKUP(K2,ucty_synt!A:L,12,0)),"-"))</f>
        <v>-</v>
      </c>
      <c r="R2" s="46"/>
      <c r="S2" s="8" t="str">
        <f t="shared" ref="S2" si="1">IF(ISNUMBER(R2),R2,IF(ISNUMBER(Q2),Q2,IF(ISNUMBER(P2),P2,IF(ISNUMBER(O2),O2,"-"))))</f>
        <v>-</v>
      </c>
      <c r="T2" s="16" t="str">
        <f>IF(S2="-","-",IF(M2="Rozvaha",VLOOKUP(S2,radky_R!A:O,14,0),IF(M2="Výsledovka",VLOOKUP(S2,radky_V!A:M,12,0),"-")))</f>
        <v>-</v>
      </c>
      <c r="U2" s="21" t="str">
        <f>IF(I2=0,"-",IF(M2="Rozvaha",VLOOKUP(S2,radky_R!A:O,8,0),IF(M2="Výsledovka",VLOOKUP(S2,radky_V!A:M,8,0),"-")))</f>
        <v>-</v>
      </c>
      <c r="V2" s="21" t="str">
        <f>IF(I2=0,"-",IF(M2="Rozvaha",VLOOKUP(S2,radky_R!A:O,9,0),IF(M2="Výsledovka",VLOOKUP(S2,radky_V!A:M,9,0),"-")))</f>
        <v>-</v>
      </c>
      <c r="W2" s="119" t="str">
        <f>IF(I2=0,"-",IF(M2="Rozvaha",VLOOKUP(S2,radky_R!A:O,15,0),IF(M2="Výsledovka",VLOOKUP(S2,radky_V!A:M,11,0),"-")))</f>
        <v>-</v>
      </c>
      <c r="X2" s="5" t="str">
        <f>IF(I2=0,"-",VLOOKUP(K2,ucty_synt!A:S,19,0))</f>
        <v>-</v>
      </c>
      <c r="Y2" s="6">
        <f t="shared" ref="Y2" si="2">I2/zaokr</f>
        <v>0</v>
      </c>
    </row>
    <row r="3" spans="2:25" s="1" customFormat="1" ht="11.25" customHeight="1" x14ac:dyDescent="0.2">
      <c r="B3" s="47"/>
      <c r="C3" s="41"/>
      <c r="D3" s="49"/>
      <c r="E3" s="49"/>
      <c r="F3" s="50"/>
      <c r="G3" s="50"/>
      <c r="H3" s="50"/>
      <c r="I3" s="51"/>
      <c r="J3" s="16" t="str">
        <f t="shared" ref="J3" si="3">CONCATENATE(D3," ",E3)</f>
        <v xml:space="preserve"> </v>
      </c>
      <c r="K3" s="3" t="str">
        <f>IF(I3=0,"-",VALUE(LEFT(D3,LEN(D3)-(INDEX!$E$13-3))))</f>
        <v>-</v>
      </c>
      <c r="L3" s="5" t="str">
        <f>IF(I3=0,"-",VLOOKUP(K3,ucty_synt!A:B,2,0))</f>
        <v>-</v>
      </c>
      <c r="M3" s="16" t="str">
        <f>IF(S3="-","-",VLOOKUP(K3,ucty_synt!A:S,3,0))</f>
        <v>-</v>
      </c>
      <c r="N3" s="16" t="str">
        <f>IF(I3=0,"-",IF(M3="Rozvaha",VLOOKUP(S3,radky_R!A:O,6,0),IF(M3="Výsledovka",VLOOKUP(S3,radky_V!A:M,6,0),"-")))</f>
        <v>-</v>
      </c>
      <c r="O3" s="3" t="str">
        <f>IF(I3=0,"-",IF(COUNTIF(ucty_synt!A:A,K3)=0,"účet n/a",IF(VLOOKUP(K3,ucty_synt!A:S,4,0)=RIGHT($P$1,5),"podle AÚ",IF(VLOOKUP(K3,ucty_synt!A:S,4,0)=RIGHT($Q$1,5),"podle SÚ",IF(SUMIF(ucty_synt!A:A,K3,ucty_synt!E:E)&lt;&gt;0,VLOOKUP(K3,ucty_synt!A:T,5,0),"doplnit")))))</f>
        <v>-</v>
      </c>
      <c r="P3" s="3" t="str">
        <f>IF(I3=0,"-",IF(VLOOKUP(K3,ucty_synt!A:S,4,0)=RIGHT($P$1,5),IF(SUMIFS(I:I,C:C,C3,D:D,D3)&gt;=0,VLOOKUP(K3,ucty_synt!A:E,5,0),VLOOKUP(K3,ucty_synt!A:L,12,0)),"-"))</f>
        <v>-</v>
      </c>
      <c r="Q3" s="3" t="str">
        <f>IF(I3=0,"-",IF(VLOOKUP(K3,ucty_synt!A:S,4,0)=RIGHT($Q$1,5),IF(SUMIFS(I:I,C:C,C3,K:K,K3)&gt;=0,VLOOKUP(K3,ucty_synt!A:E,5,0),VLOOKUP(K3,ucty_synt!A:L,12,0)),"-"))</f>
        <v>-</v>
      </c>
      <c r="R3" s="46"/>
      <c r="S3" s="8" t="str">
        <f t="shared" ref="S3" si="4">IF(ISNUMBER(R3),R3,IF(ISNUMBER(Q3),Q3,IF(ISNUMBER(P3),P3,IF(ISNUMBER(O3),O3,"-"))))</f>
        <v>-</v>
      </c>
      <c r="T3" s="16" t="str">
        <f>IF(S3="-","-",IF(M3="Rozvaha",VLOOKUP(S3,radky_R!A:O,14,0),IF(M3="Výsledovka",VLOOKUP(S3,radky_V!A:M,12,0),"-")))</f>
        <v>-</v>
      </c>
      <c r="U3" s="21" t="str">
        <f>IF(I3=0,"-",IF(M3="Rozvaha",VLOOKUP(S3,radky_R!A:O,8,0),IF(M3="Výsledovka",VLOOKUP(S3,radky_V!A:M,8,0),"-")))</f>
        <v>-</v>
      </c>
      <c r="V3" s="21" t="str">
        <f>IF(I3=0,"-",IF(M3="Rozvaha",VLOOKUP(S3,radky_R!A:O,9,0),IF(M3="Výsledovka",VLOOKUP(S3,radky_V!A:M,9,0),"-")))</f>
        <v>-</v>
      </c>
      <c r="W3" s="119" t="str">
        <f>IF(I3=0,"-",IF(M3="Rozvaha",VLOOKUP(S3,radky_R!A:O,15,0),IF(M3="Výsledovka",VLOOKUP(S3,radky_V!A:M,11,0),"-")))</f>
        <v>-</v>
      </c>
      <c r="X3" s="5" t="str">
        <f>IF(I3=0,"-",VLOOKUP(K3,ucty_synt!A:S,19,0))</f>
        <v>-</v>
      </c>
      <c r="Y3" s="6">
        <f t="shared" ref="Y3" si="5">I3/zaokr</f>
        <v>0</v>
      </c>
    </row>
    <row r="4" spans="2:25" s="1" customFormat="1" x14ac:dyDescent="0.2">
      <c r="B4" s="47"/>
      <c r="C4" s="48"/>
      <c r="D4" s="49"/>
      <c r="E4" s="49"/>
      <c r="F4" s="50"/>
      <c r="G4" s="50"/>
      <c r="H4" s="50"/>
      <c r="I4" s="51"/>
      <c r="J4" s="16" t="str">
        <f>CONCATENATE(D4," ",E4)</f>
        <v xml:space="preserve"> </v>
      </c>
      <c r="K4" s="3" t="str">
        <f>IF(I4=0,"-",VALUE(LEFT(D4,LEN(D4)-(INDEX!$E$13-3))))</f>
        <v>-</v>
      </c>
      <c r="L4" s="5" t="str">
        <f>IF(I4=0,"-",VLOOKUP(K4,ucty_synt!A:B,2,0))</f>
        <v>-</v>
      </c>
      <c r="M4" s="16" t="str">
        <f>IF(S4="-","-",VLOOKUP(K4,ucty_synt!A:S,3,0))</f>
        <v>-</v>
      </c>
      <c r="N4" s="16" t="str">
        <f>IF(I4=0,"-",IF(M4="Rozvaha",VLOOKUP(S4,radky_R!A:O,6,0),IF(M4="Výsledovka",VLOOKUP(S4,radky_V!A:M,6,0),"-")))</f>
        <v>-</v>
      </c>
      <c r="O4" s="3" t="str">
        <f>IF(I4=0,"-",IF(COUNTIF(ucty_synt!A:A,K4)=0,"účet n/a",IF(VLOOKUP(K4,ucty_synt!A:S,4,0)=RIGHT($P$1,5),"podle AÚ",IF(VLOOKUP(K4,ucty_synt!A:S,4,0)=RIGHT($Q$1,5),"podle SÚ",IF(SUMIF(ucty_synt!A:A,K4,ucty_synt!E:E)&lt;&gt;0,VLOOKUP(K4,ucty_synt!A:T,5,0),"doplnit")))))</f>
        <v>-</v>
      </c>
      <c r="P4" s="3" t="str">
        <f>IF(I4=0,"-",IF(VLOOKUP(K4,ucty_synt!A:S,4,0)=RIGHT($P$1,5),IF(SUMIFS(I:I,C:C,C4,D:D,D4)&gt;=0,VLOOKUP(K4,ucty_synt!A:E,5,0),VLOOKUP(K4,ucty_synt!A:L,12,0)),"-"))</f>
        <v>-</v>
      </c>
      <c r="Q4" s="3" t="str">
        <f>IF(I4=0,"-",IF(VLOOKUP(K4,ucty_synt!A:S,4,0)=RIGHT($Q$1,5),IF(SUMIFS(I:I,C:C,C4,K:K,K4)&gt;=0,VLOOKUP(K4,ucty_synt!A:E,5,0),VLOOKUP(K4,ucty_synt!A:L,12,0)),"-"))</f>
        <v>-</v>
      </c>
      <c r="R4" s="46"/>
      <c r="S4" s="8" t="str">
        <f>IF(ISNUMBER(R4),R4,IF(ISNUMBER(Q4),Q4,IF(ISNUMBER(P4),P4,IF(ISNUMBER(O4),O4,"-"))))</f>
        <v>-</v>
      </c>
      <c r="T4" s="16" t="str">
        <f>IF(S4="-","-",IF(M4="Rozvaha",VLOOKUP(S4,radky_R!A:O,14,0),IF(M4="Výsledovka",VLOOKUP(S4,radky_V!A:M,12,0),"-")))</f>
        <v>-</v>
      </c>
      <c r="U4" s="21" t="str">
        <f>IF(I4=0,"-",IF(M4="Rozvaha",VLOOKUP(S4,radky_R!A:O,8,0),IF(M4="Výsledovka",VLOOKUP(S4,radky_V!A:M,8,0),"-")))</f>
        <v>-</v>
      </c>
      <c r="V4" s="21" t="str">
        <f>IF(I4=0,"-",IF(M4="Rozvaha",VLOOKUP(S4,radky_R!A:O,9,0),IF(M4="Výsledovka",VLOOKUP(S4,radky_V!A:M,9,0),"-")))</f>
        <v>-</v>
      </c>
      <c r="W4" s="119" t="str">
        <f>IF(I4=0,"-",IF(M4="Rozvaha",VLOOKUP(S4,radky_R!A:O,15,0),IF(M4="Výsledovka",VLOOKUP(S4,radky_V!A:M,11,0),"-")))</f>
        <v>-</v>
      </c>
      <c r="X4" s="5" t="str">
        <f>IF(I4=0,"-",VLOOKUP(K4,ucty_synt!A:S,19,0))</f>
        <v>-</v>
      </c>
      <c r="Y4" s="6">
        <f t="shared" ref="Y4" si="6">I4/zaokr</f>
        <v>0</v>
      </c>
    </row>
    <row r="5" spans="2:25" x14ac:dyDescent="0.2">
      <c r="B5" s="485"/>
      <c r="C5" s="486"/>
      <c r="D5" s="487"/>
      <c r="E5" s="487"/>
      <c r="F5" s="488"/>
      <c r="G5" s="488"/>
      <c r="H5" s="488"/>
      <c r="I5" s="489"/>
      <c r="J5" s="490" t="str">
        <f t="shared" ref="J5:J7" si="7">CONCATENATE(D5," ",E5)</f>
        <v xml:space="preserve"> </v>
      </c>
      <c r="K5" s="491" t="str">
        <f>IF(I5=0,"-",VALUE(LEFT(D5,LEN(D5)-(INDEX!$E$13-3))))</f>
        <v>-</v>
      </c>
      <c r="L5" s="492" t="str">
        <f>IF(I5=0,"-",VLOOKUP(K5,ucty_synt!A:B,2,0))</f>
        <v>-</v>
      </c>
      <c r="M5" s="490" t="str">
        <f>IF(S5="-","-",VLOOKUP(K5,ucty_synt!A:S,3,0))</f>
        <v>-</v>
      </c>
      <c r="N5" s="490" t="str">
        <f>IF(I5=0,"-",IF(M5="Rozvaha",VLOOKUP(S5,radky_R!A:O,6,0),IF(M5="Výsledovka",VLOOKUP(S5,radky_V!A:M,6,0),"-")))</f>
        <v>-</v>
      </c>
      <c r="O5" s="491" t="str">
        <f>IF(I5=0,"-",IF(COUNTIF(ucty_synt!A:A,K5)=0,"účet n/a",IF(VLOOKUP(K5,ucty_synt!A:S,4,0)=RIGHT($P$1,5),"podle AÚ",IF(VLOOKUP(K5,ucty_synt!A:S,4,0)=RIGHT($Q$1,5),"podle SÚ",IF(SUMIF(ucty_synt!A:A,K5,ucty_synt!E:E)&lt;&gt;0,VLOOKUP(K5,ucty_synt!A:T,5,0),"doplnit")))))</f>
        <v>-</v>
      </c>
      <c r="P5" s="491" t="str">
        <f>IF(I5=0,"-",IF(VLOOKUP(K5,ucty_synt!A:S,4,0)=RIGHT($P$1,5),IF(SUMIFS(I:I,C:C,C5,D:D,D5)&gt;=0,VLOOKUP(K5,ucty_synt!A:E,5,0),VLOOKUP(K5,ucty_synt!A:L,12,0)),"-"))</f>
        <v>-</v>
      </c>
      <c r="Q5" s="491" t="str">
        <f>IF(I5=0,"-",IF(VLOOKUP(K5,ucty_synt!A:S,4,0)=RIGHT($Q$1,5),IF(SUMIFS(I:I,C:C,C5,K:K,K5)&gt;=0,VLOOKUP(K5,ucty_synt!A:E,5,0),VLOOKUP(K5,ucty_synt!A:L,12,0)),"-"))</f>
        <v>-</v>
      </c>
      <c r="R5" s="493"/>
      <c r="S5" s="494" t="str">
        <f t="shared" ref="S5:S7" si="8">IF(ISNUMBER(R5),R5,IF(ISNUMBER(Q5),Q5,IF(ISNUMBER(P5),P5,IF(ISNUMBER(O5),O5,"-"))))</f>
        <v>-</v>
      </c>
      <c r="T5" s="490" t="str">
        <f>IF(S5="-","-",IF(M5="Rozvaha",VLOOKUP(S5,radky_R!A:O,14,0),IF(M5="Výsledovka",VLOOKUP(S5,radky_V!A:M,12,0),"-")))</f>
        <v>-</v>
      </c>
      <c r="U5" s="495" t="str">
        <f>IF(I5=0,"-",IF(M5="Rozvaha",VLOOKUP(S5,radky_R!A:O,8,0),IF(M5="Výsledovka",VLOOKUP(S5,radky_V!A:M,8,0),"-")))</f>
        <v>-</v>
      </c>
      <c r="V5" s="495" t="str">
        <f>IF(I5=0,"-",IF(M5="Rozvaha",VLOOKUP(S5,radky_R!A:O,9,0),IF(M5="Výsledovka",VLOOKUP(S5,radky_V!A:M,9,0),"-")))</f>
        <v>-</v>
      </c>
      <c r="W5" s="496" t="str">
        <f>IF(I5=0,"-",IF(M5="Rozvaha",VLOOKUP(S5,radky_R!A:O,15,0),IF(M5="Výsledovka",VLOOKUP(S5,radky_V!A:M,11,0),"-")))</f>
        <v>-</v>
      </c>
      <c r="X5" s="492" t="str">
        <f>IF(I5=0,"-",VLOOKUP(K5,ucty_synt!A:S,19,0))</f>
        <v>-</v>
      </c>
      <c r="Y5" s="6">
        <f t="shared" ref="Y5:Y7" si="9">I5/zaokr</f>
        <v>0</v>
      </c>
    </row>
    <row r="6" spans="2:25" x14ac:dyDescent="0.2">
      <c r="B6" s="485"/>
      <c r="C6" s="486"/>
      <c r="D6" s="487"/>
      <c r="E6" s="487"/>
      <c r="F6" s="488"/>
      <c r="G6" s="488"/>
      <c r="H6" s="488"/>
      <c r="I6" s="489"/>
      <c r="J6" s="490" t="str">
        <f t="shared" si="7"/>
        <v xml:space="preserve"> </v>
      </c>
      <c r="K6" s="491" t="str">
        <f>IF(I6=0,"-",VALUE(LEFT(D6,LEN(D6)-(INDEX!$E$13-3))))</f>
        <v>-</v>
      </c>
      <c r="L6" s="492" t="str">
        <f>IF(I6=0,"-",VLOOKUP(K6,ucty_synt!A:B,2,0))</f>
        <v>-</v>
      </c>
      <c r="M6" s="490" t="str">
        <f>IF(S6="-","-",VLOOKUP(K6,ucty_synt!A:S,3,0))</f>
        <v>-</v>
      </c>
      <c r="N6" s="490" t="str">
        <f>IF(I6=0,"-",IF(M6="Rozvaha",VLOOKUP(S6,radky_R!A:O,6,0),IF(M6="Výsledovka",VLOOKUP(S6,radky_V!A:M,6,0),"-")))</f>
        <v>-</v>
      </c>
      <c r="O6" s="491" t="str">
        <f>IF(I6=0,"-",IF(COUNTIF(ucty_synt!A:A,K6)=0,"účet n/a",IF(VLOOKUP(K6,ucty_synt!A:S,4,0)=RIGHT($P$1,5),"podle AÚ",IF(VLOOKUP(K6,ucty_synt!A:S,4,0)=RIGHT($Q$1,5),"podle SÚ",IF(SUMIF(ucty_synt!A:A,K6,ucty_synt!E:E)&lt;&gt;0,VLOOKUP(K6,ucty_synt!A:T,5,0),"doplnit")))))</f>
        <v>-</v>
      </c>
      <c r="P6" s="491" t="str">
        <f>IF(I6=0,"-",IF(VLOOKUP(K6,ucty_synt!A:S,4,0)=RIGHT($P$1,5),IF(SUMIFS(I:I,C:C,C6,D:D,D6)&gt;=0,VLOOKUP(K6,ucty_synt!A:E,5,0),VLOOKUP(K6,ucty_synt!A:L,12,0)),"-"))</f>
        <v>-</v>
      </c>
      <c r="Q6" s="491" t="str">
        <f>IF(I6=0,"-",IF(VLOOKUP(K6,ucty_synt!A:S,4,0)=RIGHT($Q$1,5),IF(SUMIFS(I:I,C:C,C6,K:K,K6)&gt;=0,VLOOKUP(K6,ucty_synt!A:E,5,0),VLOOKUP(K6,ucty_synt!A:L,12,0)),"-"))</f>
        <v>-</v>
      </c>
      <c r="R6" s="493"/>
      <c r="S6" s="494" t="str">
        <f t="shared" si="8"/>
        <v>-</v>
      </c>
      <c r="T6" s="490" t="str">
        <f>IF(S6="-","-",IF(M6="Rozvaha",VLOOKUP(S6,radky_R!A:O,14,0),IF(M6="Výsledovka",VLOOKUP(S6,radky_V!A:M,12,0),"-")))</f>
        <v>-</v>
      </c>
      <c r="U6" s="495" t="str">
        <f>IF(I6=0,"-",IF(M6="Rozvaha",VLOOKUP(S6,radky_R!A:O,8,0),IF(M6="Výsledovka",VLOOKUP(S6,radky_V!A:M,8,0),"-")))</f>
        <v>-</v>
      </c>
      <c r="V6" s="495" t="str">
        <f>IF(I6=0,"-",IF(M6="Rozvaha",VLOOKUP(S6,radky_R!A:O,9,0),IF(M6="Výsledovka",VLOOKUP(S6,radky_V!A:M,9,0),"-")))</f>
        <v>-</v>
      </c>
      <c r="W6" s="496" t="str">
        <f>IF(I6=0,"-",IF(M6="Rozvaha",VLOOKUP(S6,radky_R!A:O,15,0),IF(M6="Výsledovka",VLOOKUP(S6,radky_V!A:M,11,0),"-")))</f>
        <v>-</v>
      </c>
      <c r="X6" s="492" t="str">
        <f>IF(I6=0,"-",VLOOKUP(K6,ucty_synt!A:S,19,0))</f>
        <v>-</v>
      </c>
      <c r="Y6" s="6">
        <f t="shared" si="9"/>
        <v>0</v>
      </c>
    </row>
    <row r="7" spans="2:25" x14ac:dyDescent="0.2">
      <c r="B7" s="485"/>
      <c r="C7" s="486"/>
      <c r="D7" s="487"/>
      <c r="E7" s="487"/>
      <c r="F7" s="488"/>
      <c r="G7" s="488"/>
      <c r="H7" s="488"/>
      <c r="I7" s="489"/>
      <c r="J7" s="490" t="str">
        <f t="shared" si="7"/>
        <v xml:space="preserve"> </v>
      </c>
      <c r="K7" s="491" t="str">
        <f>IF(I7=0,"-",VALUE(LEFT(D7,LEN(D7)-(INDEX!$E$13-3))))</f>
        <v>-</v>
      </c>
      <c r="L7" s="492" t="str">
        <f>IF(I7=0,"-",VLOOKUP(K7,ucty_synt!A:B,2,0))</f>
        <v>-</v>
      </c>
      <c r="M7" s="490" t="str">
        <f>IF(S7="-","-",VLOOKUP(K7,ucty_synt!A:S,3,0))</f>
        <v>-</v>
      </c>
      <c r="N7" s="490" t="str">
        <f>IF(I7=0,"-",IF(M7="Rozvaha",VLOOKUP(S7,radky_R!A:O,6,0),IF(M7="Výsledovka",VLOOKUP(S7,radky_V!A:M,6,0),"-")))</f>
        <v>-</v>
      </c>
      <c r="O7" s="491" t="str">
        <f>IF(I7=0,"-",IF(COUNTIF(ucty_synt!A:A,K7)=0,"účet n/a",IF(VLOOKUP(K7,ucty_synt!A:S,4,0)=RIGHT($P$1,5),"podle AÚ",IF(VLOOKUP(K7,ucty_synt!A:S,4,0)=RIGHT($Q$1,5),"podle SÚ",IF(SUMIF(ucty_synt!A:A,K7,ucty_synt!E:E)&lt;&gt;0,VLOOKUP(K7,ucty_synt!A:T,5,0),"doplnit")))))</f>
        <v>-</v>
      </c>
      <c r="P7" s="491" t="str">
        <f>IF(I7=0,"-",IF(VLOOKUP(K7,ucty_synt!A:S,4,0)=RIGHT($P$1,5),IF(SUMIFS(I:I,C:C,C7,D:D,D7)&gt;=0,VLOOKUP(K7,ucty_synt!A:E,5,0),VLOOKUP(K7,ucty_synt!A:L,12,0)),"-"))</f>
        <v>-</v>
      </c>
      <c r="Q7" s="491" t="str">
        <f>IF(I7=0,"-",IF(VLOOKUP(K7,ucty_synt!A:S,4,0)=RIGHT($Q$1,5),IF(SUMIFS(I:I,C:C,C7,K:K,K7)&gt;=0,VLOOKUP(K7,ucty_synt!A:E,5,0),VLOOKUP(K7,ucty_synt!A:L,12,0)),"-"))</f>
        <v>-</v>
      </c>
      <c r="R7" s="493"/>
      <c r="S7" s="494" t="str">
        <f t="shared" si="8"/>
        <v>-</v>
      </c>
      <c r="T7" s="490" t="str">
        <f>IF(S7="-","-",IF(M7="Rozvaha",VLOOKUP(S7,radky_R!A:O,14,0),IF(M7="Výsledovka",VLOOKUP(S7,radky_V!A:M,12,0),"-")))</f>
        <v>-</v>
      </c>
      <c r="U7" s="495" t="str">
        <f>IF(I7=0,"-",IF(M7="Rozvaha",VLOOKUP(S7,radky_R!A:O,8,0),IF(M7="Výsledovka",VLOOKUP(S7,radky_V!A:M,8,0),"-")))</f>
        <v>-</v>
      </c>
      <c r="V7" s="495" t="str">
        <f>IF(I7=0,"-",IF(M7="Rozvaha",VLOOKUP(S7,radky_R!A:O,9,0),IF(M7="Výsledovka",VLOOKUP(S7,radky_V!A:M,9,0),"-")))</f>
        <v>-</v>
      </c>
      <c r="W7" s="496" t="str">
        <f>IF(I7=0,"-",IF(M7="Rozvaha",VLOOKUP(S7,radky_R!A:O,15,0),IF(M7="Výsledovka",VLOOKUP(S7,radky_V!A:M,11,0),"-")))</f>
        <v>-</v>
      </c>
      <c r="X7" s="492" t="str">
        <f>IF(I7=0,"-",VLOOKUP(K7,ucty_synt!A:S,19,0))</f>
        <v>-</v>
      </c>
      <c r="Y7" s="6">
        <f t="shared" si="9"/>
        <v>0</v>
      </c>
    </row>
  </sheetData>
  <sheetProtection formatCells="0" formatColumns="0" formatRows="0" insertRows="0" sort="0" autoFilter="0"/>
  <conditionalFormatting sqref="R1:R1048576">
    <cfRule type="expression" dxfId="304" priority="1" stopIfTrue="1">
      <formula>O1="účet n/a"</formula>
    </cfRule>
    <cfRule type="expression" dxfId="303" priority="2">
      <formula>AND(O1="doplnit",ISBLANK(R1))</formula>
    </cfRule>
    <cfRule type="cellIs" dxfId="302" priority="3" operator="notEqual">
      <formula>0</formula>
    </cfRule>
  </conditionalFormatting>
  <pageMargins left="0.39370078740157483" right="0.39370078740157483" top="0" bottom="0.39370078740157483" header="0" footer="0"/>
  <pageSetup paperSize="9" scale="90" fitToHeight="0" orientation="landscape" verticalDpi="300" r:id="rId1"/>
  <headerFooter scaleWithDoc="0" alignWithMargins="0">
    <oddFooter>&amp;L&amp;G&amp;C&amp;"-,Obyčejné"&amp;8&amp;K00-049Tisk: &amp;D &amp;T&amp;R&amp;"-,Obyčejné"&amp;8&amp;K00-049&amp;F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499984740745262"/>
  </sheetPr>
  <dimension ref="A1:X84"/>
  <sheetViews>
    <sheetView showGridLines="0" showRowColHeaders="0" showZeros="0" topLeftCell="E1" zoomScale="80" zoomScaleNormal="80" workbookViewId="0">
      <pane ySplit="7" topLeftCell="A8" activePane="bottomLeft" state="frozen"/>
      <selection activeCell="G7" sqref="G7:I7"/>
      <selection pane="bottomLeft" activeCell="K8" sqref="K8"/>
    </sheetView>
  </sheetViews>
  <sheetFormatPr defaultColWidth="0" defaultRowHeight="26.25" x14ac:dyDescent="0.2"/>
  <cols>
    <col min="1" max="1" width="2.28515625" style="520" hidden="1" customWidth="1"/>
    <col min="2" max="2" width="6.42578125" style="521" hidden="1" customWidth="1"/>
    <col min="3" max="3" width="8.85546875" style="520" hidden="1" customWidth="1"/>
    <col min="4" max="4" width="8.42578125" style="520" hidden="1" customWidth="1"/>
    <col min="5" max="5" width="2.7109375" style="28" customWidth="1"/>
    <col min="6" max="7" width="2.85546875" style="148" customWidth="1"/>
    <col min="8" max="10" width="2.85546875" style="285" customWidth="1"/>
    <col min="11" max="11" width="48.7109375" style="148" customWidth="1"/>
    <col min="12" max="12" width="6.42578125" style="148" customWidth="1"/>
    <col min="13" max="16" width="18.7109375" style="148" customWidth="1"/>
    <col min="17" max="17" width="2.7109375" style="14" customWidth="1"/>
    <col min="18" max="18" width="4.7109375" style="26" customWidth="1"/>
    <col min="19" max="19" width="4.5703125" style="26" customWidth="1"/>
    <col min="20" max="20" width="2.7109375" style="11" customWidth="1"/>
    <col min="21" max="24" width="0" style="11" hidden="1" customWidth="1"/>
    <col min="25" max="16384" width="9.140625" style="11" hidden="1"/>
  </cols>
  <sheetData>
    <row r="1" spans="1:19" s="67" customFormat="1" x14ac:dyDescent="0.4">
      <c r="A1" s="513"/>
      <c r="B1" s="514"/>
      <c r="C1" s="513"/>
      <c r="D1" s="513"/>
      <c r="E1" s="149"/>
      <c r="F1" s="150" t="str">
        <f>IF(jazyk="česky","ROZVAHA v plném rozsahu",IF(jazyk="anglicky","BALANCE SHEET in full format",IF(jazyk="německy","BILANZ in vollständiger Fassung","-")))</f>
        <v>ROZVAHA v plném rozsahu</v>
      </c>
      <c r="G1" s="69"/>
      <c r="H1" s="69"/>
      <c r="I1" s="69"/>
      <c r="J1" s="69"/>
      <c r="K1" s="69"/>
      <c r="L1" s="70"/>
      <c r="M1" s="70"/>
      <c r="N1" s="70"/>
      <c r="O1" s="151"/>
      <c r="P1" s="152">
        <f>INDEX!C6</f>
        <v>0</v>
      </c>
      <c r="Q1" s="153"/>
      <c r="R1" s="154"/>
      <c r="S1" s="154"/>
    </row>
    <row r="2" spans="1:19" s="32" customFormat="1" ht="15.75" x14ac:dyDescent="0.2">
      <c r="A2" s="513"/>
      <c r="B2" s="514"/>
      <c r="C2" s="513"/>
      <c r="D2" s="513"/>
      <c r="E2" s="37"/>
      <c r="F2" s="71" t="str">
        <f>CONCATENATE(IF(jazyk="česky","ke dni",IF(jazyk="anglicky","as at",IF(jazyk="německy","zum","-"))),"   ",DAY(INDEX!D11),".",MONTH(INDEX!D11),".",YEAR(INDEX!D11))</f>
        <v>ke dni   0.1.1900</v>
      </c>
      <c r="G2" s="74"/>
      <c r="H2" s="74"/>
      <c r="I2" s="74"/>
      <c r="J2" s="74"/>
      <c r="K2" s="74"/>
      <c r="L2" s="77"/>
      <c r="M2" s="77"/>
      <c r="N2" s="74"/>
      <c r="O2" s="74"/>
      <c r="P2" s="75">
        <f>INDEX!C8</f>
        <v>0</v>
      </c>
      <c r="Q2" s="33"/>
      <c r="R2" s="34"/>
      <c r="S2" s="34"/>
    </row>
    <row r="3" spans="1:19" s="32" customFormat="1" ht="15.75" x14ac:dyDescent="0.2">
      <c r="A3" s="513"/>
      <c r="B3" s="514"/>
      <c r="C3" s="513"/>
      <c r="D3" s="513"/>
      <c r="E3" s="37"/>
      <c r="F3" s="76" t="str">
        <f>CONCATENATE("(",VLOOKUP(zaokr,INDEX!I17:J18,2,0),")")</f>
        <v>(v celých Kč)</v>
      </c>
      <c r="G3" s="74"/>
      <c r="H3" s="74"/>
      <c r="I3" s="74"/>
      <c r="J3" s="74"/>
      <c r="K3" s="74"/>
      <c r="L3" s="77"/>
      <c r="M3" s="77"/>
      <c r="N3" s="74"/>
      <c r="O3" s="78" t="s">
        <v>285</v>
      </c>
      <c r="P3" s="75">
        <f>INDEX!C4</f>
        <v>0</v>
      </c>
      <c r="Q3" s="33"/>
      <c r="R3" s="34"/>
      <c r="S3" s="34"/>
    </row>
    <row r="4" spans="1:19" s="32" customFormat="1" ht="24" thickBot="1" x14ac:dyDescent="0.25">
      <c r="A4" s="513"/>
      <c r="B4" s="514"/>
      <c r="C4" s="513"/>
      <c r="D4" s="513"/>
      <c r="E4" s="36"/>
      <c r="F4" s="74"/>
      <c r="G4" s="74"/>
      <c r="H4" s="74"/>
      <c r="I4" s="74"/>
      <c r="J4" s="74"/>
      <c r="K4" s="74"/>
      <c r="L4" s="77"/>
      <c r="M4" s="120" t="s">
        <v>253</v>
      </c>
      <c r="N4" s="120" t="s">
        <v>255</v>
      </c>
      <c r="O4" s="120" t="s">
        <v>258</v>
      </c>
      <c r="P4" s="121"/>
      <c r="Q4" s="33"/>
    </row>
    <row r="5" spans="1:19" ht="23.25" x14ac:dyDescent="0.25">
      <c r="B5" s="521" t="s">
        <v>514</v>
      </c>
      <c r="E5" s="19"/>
      <c r="F5" s="555" t="str">
        <f>IF(jazyk="česky","Označení",IF(jazyk="anglicky","Ident.",IF(jazyk="německy","Ident.","-")))</f>
        <v>Označení</v>
      </c>
      <c r="G5" s="556"/>
      <c r="H5" s="556"/>
      <c r="I5" s="272"/>
      <c r="J5" s="272"/>
      <c r="K5" s="82" t="str">
        <f>IF(jazyk="česky","AKTIVA",IF(jazyk="anglicky","ASSETS",IF(jazyk="německy","AKTIVA","-")))</f>
        <v>AKTIVA</v>
      </c>
      <c r="L5" s="83" t="str">
        <f>IF(jazyk="česky","Číslo",IF(jazyk="anglicky"," ",IF(jazyk="německy"," ","-")))</f>
        <v>Číslo</v>
      </c>
      <c r="M5" s="559" t="str">
        <f>IF(jazyk="česky","Běžné účetní období",IF(jazyk="anglicky","Current period",IF(jazyk="německy","Laufende Periode","-")))</f>
        <v>Běžné účetní období</v>
      </c>
      <c r="N5" s="560"/>
      <c r="O5" s="561"/>
      <c r="P5" s="122" t="str">
        <f>IF(jazyk="česky","Minulé účetní období",IF(jazyk="anglicky","Prior period",IF(jazyk="německy","Vorjahr","-")))</f>
        <v>Minulé účetní období</v>
      </c>
      <c r="Q5" s="11"/>
      <c r="R5" s="211">
        <f>ROUND(SUMIFS(data!$Y:$Y,data!$C:$C,INDEX!$D$11,data!$N:$N,$B5),0)-SUMIF($C:$C,"AKT",M:M)-SUMIF($C:$C,"AKT",N:N)+SUM(R8:R84)</f>
        <v>0</v>
      </c>
      <c r="S5" s="211">
        <f>ROUND(SUMIFS(data!$Y:$Y,data!$C:$C,INDEX!$E$11,data!$N:$N,$B5),0)-P8++SUM(S8:S84)</f>
        <v>0</v>
      </c>
    </row>
    <row r="6" spans="1:19" ht="12.75" customHeight="1" x14ac:dyDescent="0.2">
      <c r="E6" s="19"/>
      <c r="F6" s="84"/>
      <c r="G6" s="85"/>
      <c r="H6" s="85"/>
      <c r="I6" s="85"/>
      <c r="J6" s="85"/>
      <c r="K6" s="87"/>
      <c r="L6" s="88" t="str">
        <f>IF(jazyk="česky","řádku",IF(jazyk="anglicky","Line",IF(jazyk="německy","Zeile","-")))</f>
        <v>řádku</v>
      </c>
      <c r="M6" s="123" t="str">
        <f>IF(jazyk="česky","Brutto",IF(jazyk="anglicky","Gross",IF(jazyk="německy","Brutto","-")))</f>
        <v>Brutto</v>
      </c>
      <c r="N6" s="124" t="str">
        <f>IF(jazyk="česky","Korekce",IF(jazyk="anglicky","Adjustments",IF(jazyk="německy","Korrekturen","-")))</f>
        <v>Korekce</v>
      </c>
      <c r="O6" s="125" t="str">
        <f>IF(jazyk="česky","Netto",IF(jazyk="anglicky","Net",IF(jazyk="německy","Netto","-")))</f>
        <v>Netto</v>
      </c>
      <c r="P6" s="126" t="str">
        <f>IF(jazyk="česky","Netto",IF(jazyk="anglicky","Net",IF(jazyk="německy","Netto","-")))</f>
        <v>Netto</v>
      </c>
      <c r="Q6" s="11"/>
      <c r="R6" s="212" t="s">
        <v>340</v>
      </c>
      <c r="S6" s="212" t="s">
        <v>341</v>
      </c>
    </row>
    <row r="7" spans="1:19" ht="13.5" customHeight="1" thickBot="1" x14ac:dyDescent="0.25">
      <c r="B7" s="521" t="s">
        <v>514</v>
      </c>
      <c r="C7" s="520" t="s">
        <v>630</v>
      </c>
      <c r="D7" s="520" t="s">
        <v>748</v>
      </c>
      <c r="E7" s="19"/>
      <c r="F7" s="557" t="s">
        <v>257</v>
      </c>
      <c r="G7" s="558"/>
      <c r="H7" s="558"/>
      <c r="I7" s="276"/>
      <c r="J7" s="274"/>
      <c r="K7" s="127" t="s">
        <v>235</v>
      </c>
      <c r="L7" s="128" t="s">
        <v>236</v>
      </c>
      <c r="M7" s="123">
        <v>1</v>
      </c>
      <c r="N7" s="124">
        <v>2</v>
      </c>
      <c r="O7" s="125">
        <v>3</v>
      </c>
      <c r="P7" s="129">
        <v>4</v>
      </c>
      <c r="Q7" s="11"/>
      <c r="R7" s="215">
        <f>ROUND(SUMIFS(data!$Y:$Y,data!$C:$C,INDEX!$D$11,data!$N:$N,$B7),0)-SUMIF($C:$C,"AKT",M:M)-SUMIF($C:$C,"AKT",N:N)</f>
        <v>0</v>
      </c>
      <c r="S7" s="215">
        <f>ROUND($A74*SUMIFS(data!$Y:$Y,data!$C:$C,INDEX!$E$11,data!$N:$N,$B7),0)-P8</f>
        <v>0</v>
      </c>
    </row>
    <row r="8" spans="1:19" ht="27" thickBot="1" x14ac:dyDescent="0.25">
      <c r="A8" s="527">
        <v>1</v>
      </c>
      <c r="B8" s="525" t="s">
        <v>514</v>
      </c>
      <c r="C8" s="520" t="s">
        <v>261</v>
      </c>
      <c r="D8" s="520" t="s">
        <v>754</v>
      </c>
      <c r="E8" s="29"/>
      <c r="F8" s="328"/>
      <c r="G8" s="329"/>
      <c r="H8" s="329"/>
      <c r="I8" s="329"/>
      <c r="J8" s="329"/>
      <c r="K8" s="330" t="str">
        <f>VLOOKUP(L8,radky_R!A:O,15,0)</f>
        <v>AKTIVA CELKEM      (ř. 02 + 03 + 37 + 74)</v>
      </c>
      <c r="L8" s="331">
        <v>1</v>
      </c>
      <c r="M8" s="332">
        <f>IF($D8="calc",ROUND($A8*SUMIFS(data!$Y:$Y,data!$C:$C,INDEX!$D$11,data!$X:$X,M$4,data!$N:$N,$B8,data!$S:$S,$L8),0)+R8,SUMIFS(M:M,$C:$C,$D8))</f>
        <v>0</v>
      </c>
      <c r="N8" s="332">
        <f>IF($D8="calc",ROUND($A8*SUMIFS(data!$Y:$Y,data!$C:$C,INDEX!$D$11,data!$X:$X,N$4,data!$N:$N,$B8,data!$S:$S,$L8),0)+R8,SUMIFS(N:N,$C:$C,$D8))</f>
        <v>0</v>
      </c>
      <c r="O8" s="332">
        <f t="shared" ref="O8:O71" si="0">M8+N8</f>
        <v>0</v>
      </c>
      <c r="P8" s="333">
        <f>IF($D8="calc",ROUND($A8*SUMIFS(data!$Y:$Y,data!$C:$C,INDEX!$E$11,data!$N:$N,$B8,data!$S:$S,$L8),0)+S8,SUMIFS(P:P,$C:$C,$D8))</f>
        <v>0</v>
      </c>
      <c r="Q8" s="11"/>
      <c r="R8" s="214"/>
      <c r="S8" s="214"/>
    </row>
    <row r="9" spans="1:19" ht="27" thickBot="1" x14ac:dyDescent="0.25">
      <c r="A9" s="527">
        <v>1</v>
      </c>
      <c r="B9" s="525" t="s">
        <v>514</v>
      </c>
      <c r="C9" s="520" t="s">
        <v>754</v>
      </c>
      <c r="D9" s="520" t="s">
        <v>237</v>
      </c>
      <c r="E9" s="29"/>
      <c r="F9" s="334" t="s">
        <v>237</v>
      </c>
      <c r="G9" s="335"/>
      <c r="H9" s="336"/>
      <c r="I9" s="336"/>
      <c r="J9" s="336"/>
      <c r="K9" s="337" t="str">
        <f>VLOOKUP(L9,radky_R!A:O,15,0)</f>
        <v>Pohledávky za upsaný základní kapitál</v>
      </c>
      <c r="L9" s="338">
        <v>2</v>
      </c>
      <c r="M9" s="339">
        <f>IF($D9="calc",ROUND($A9*SUMIFS(data!$Y:$Y,data!$C:$C,INDEX!$D$11,data!$X:$X,M$4,data!$N:$N,$B9,data!$S:$S,$L9),0)+R9,SUMIFS(M:M,$C:$C,$D9))</f>
        <v>0</v>
      </c>
      <c r="N9" s="339">
        <f>IF($D9="calc",ROUND($A9*SUMIFS(data!$Y:$Y,data!$C:$C,INDEX!$D$11,data!$X:$X,N$4,data!$N:$N,$B9,data!$S:$S,$L9),0)+R9,SUMIFS(N:N,$C:$C,$D9))</f>
        <v>0</v>
      </c>
      <c r="O9" s="339">
        <f t="shared" si="0"/>
        <v>0</v>
      </c>
      <c r="P9" s="340">
        <f>IF($D9="calc",ROUND($A9*SUMIFS(data!$Y:$Y,data!$C:$C,INDEX!$E$11,data!$N:$N,$B9,data!$S:$S,$L9),0)+S9,SUMIFS(P:P,$C:$C,$D9))</f>
        <v>0</v>
      </c>
      <c r="Q9" s="11"/>
      <c r="R9" s="208"/>
      <c r="S9" s="208"/>
    </row>
    <row r="10" spans="1:19" x14ac:dyDescent="0.2">
      <c r="A10" s="527">
        <v>1</v>
      </c>
      <c r="B10" s="525" t="s">
        <v>514</v>
      </c>
      <c r="C10" s="520" t="s">
        <v>754</v>
      </c>
      <c r="D10" s="520" t="s">
        <v>238</v>
      </c>
      <c r="E10" s="29"/>
      <c r="F10" s="141" t="s">
        <v>238</v>
      </c>
      <c r="G10" s="341"/>
      <c r="H10" s="284"/>
      <c r="I10" s="284"/>
      <c r="J10" s="284"/>
      <c r="K10" s="130" t="str">
        <f>VLOOKUP(L10,radky_R!A:O,15,0)</f>
        <v>Dlouhodobý majetek      (ř. 04 + 14 + 27)</v>
      </c>
      <c r="L10" s="144">
        <v>3</v>
      </c>
      <c r="M10" s="131">
        <f>IF($D10="calc",ROUND($A10*SUMIFS(data!$Y:$Y,data!$C:$C,INDEX!$D$11,data!$X:$X,M$4,data!$N:$N,$B10,data!$S:$S,$L10),0)+R10,SUMIFS(M:M,$C:$C,$D10))</f>
        <v>0</v>
      </c>
      <c r="N10" s="131">
        <f>IF($D10="calc",ROUND($A10*SUMIFS(data!$Y:$Y,data!$C:$C,INDEX!$D$11,data!$X:$X,N$4,data!$N:$N,$B10,data!$S:$S,$L10),0)+R10,SUMIFS(N:N,$C:$C,$D10))</f>
        <v>0</v>
      </c>
      <c r="O10" s="131">
        <f t="shared" si="0"/>
        <v>0</v>
      </c>
      <c r="P10" s="132">
        <f>IF($D10="calc",ROUND($A10*SUMIFS(data!$Y:$Y,data!$C:$C,INDEX!$E$11,data!$N:$N,$B10,data!$S:$S,$L10),0)+S10,SUMIFS(P:P,$C:$C,$D10))</f>
        <v>0</v>
      </c>
      <c r="Q10" s="11"/>
      <c r="R10" s="213"/>
      <c r="S10" s="213"/>
    </row>
    <row r="11" spans="1:19" x14ac:dyDescent="0.2">
      <c r="A11" s="527">
        <v>1</v>
      </c>
      <c r="B11" s="525" t="s">
        <v>514</v>
      </c>
      <c r="C11" s="520" t="s">
        <v>238</v>
      </c>
      <c r="D11" s="520" t="s">
        <v>749</v>
      </c>
      <c r="E11" s="29"/>
      <c r="F11" s="281" t="s">
        <v>238</v>
      </c>
      <c r="G11" s="282" t="s">
        <v>239</v>
      </c>
      <c r="H11" s="283"/>
      <c r="I11" s="283"/>
      <c r="J11" s="283"/>
      <c r="K11" s="106" t="str">
        <f>VLOOKUP(L11,radky_R!A:O,15,0)</f>
        <v>Dlouhodobý nehmotný majetek      (ř. 05 + 06 + 09 + 10 + 11)</v>
      </c>
      <c r="L11" s="147">
        <v>4</v>
      </c>
      <c r="M11" s="133">
        <f>IF($D11="calc",ROUND($A11*SUMIFS(data!$Y:$Y,data!$C:$C,INDEX!$D$11,data!$X:$X,M$4,data!$N:$N,$B11,data!$S:$S,$L11),0)+R11,SUMIFS(M:M,$C:$C,$D11))</f>
        <v>0</v>
      </c>
      <c r="N11" s="133">
        <f>IF($D11="calc",ROUND($A11*SUMIFS(data!$Y:$Y,data!$C:$C,INDEX!$D$11,data!$X:$X,N$4,data!$N:$N,$B11,data!$S:$S,$L11),0),SUMIFS(N:N,$C:$C,$D11))</f>
        <v>0</v>
      </c>
      <c r="O11" s="133">
        <f t="shared" si="0"/>
        <v>0</v>
      </c>
      <c r="P11" s="134">
        <f>IF($D11="calc",ROUND($A11*SUMIFS(data!$Y:$Y,data!$C:$C,INDEX!$E$11,data!$N:$N,$B11,data!$S:$S,$L11),0)+S11,SUMIFS(P:P,$C:$C,$D11))</f>
        <v>0</v>
      </c>
      <c r="Q11" s="11"/>
      <c r="R11" s="213"/>
      <c r="S11" s="213"/>
    </row>
    <row r="12" spans="1:19" x14ac:dyDescent="0.2">
      <c r="A12" s="527">
        <v>1</v>
      </c>
      <c r="B12" s="525" t="s">
        <v>514</v>
      </c>
      <c r="C12" s="524" t="s">
        <v>749</v>
      </c>
      <c r="D12" s="520" t="s">
        <v>747</v>
      </c>
      <c r="E12" s="29"/>
      <c r="F12" s="310" t="s">
        <v>238</v>
      </c>
      <c r="G12" s="309" t="s">
        <v>239</v>
      </c>
      <c r="H12" s="309" t="s">
        <v>240</v>
      </c>
      <c r="I12" s="309"/>
      <c r="J12" s="311"/>
      <c r="K12" s="277" t="str">
        <f>VLOOKUP(L12,radky_R!A:O,15,0)</f>
        <v xml:space="preserve">Nehmotné výsledky výzkumu a vývoje </v>
      </c>
      <c r="L12" s="278">
        <v>5</v>
      </c>
      <c r="M12" s="279">
        <f>IF($D12="calc",ROUND($A12*SUMIFS(data!$Y:$Y,data!$C:$C,INDEX!$D$11,data!$X:$X,M$4,data!$N:$N,$B12,data!$S:$S,$L12),0)+R12,SUMIFS(M:M,$C:$C,$D12))</f>
        <v>0</v>
      </c>
      <c r="N12" s="279">
        <f>IF($D12="calc",ROUND($A12*SUMIFS(data!$Y:$Y,data!$C:$C,INDEX!$D$11,data!$X:$X,N$4,data!$N:$N,$B12,data!$S:$S,$L12),0),SUMIFS(N:N,$C:$C,$D12))</f>
        <v>0</v>
      </c>
      <c r="O12" s="279">
        <f>M12+N12</f>
        <v>0</v>
      </c>
      <c r="P12" s="280">
        <f>IF($D12="calc",ROUND($A12*SUMIFS(data!$Y:$Y,data!$C:$C,INDEX!$E$11,data!$N:$N,$B12,data!$S:$S,$L12),0)+S12,SUMIFS(P:P,$C:$C,$D12))</f>
        <v>0</v>
      </c>
      <c r="Q12" s="11"/>
      <c r="R12" s="208"/>
      <c r="S12" s="208"/>
    </row>
    <row r="13" spans="1:19" s="27" customFormat="1" x14ac:dyDescent="0.2">
      <c r="A13" s="527">
        <v>1</v>
      </c>
      <c r="B13" s="525" t="s">
        <v>514</v>
      </c>
      <c r="C13" s="524" t="s">
        <v>749</v>
      </c>
      <c r="D13" s="524" t="s">
        <v>750</v>
      </c>
      <c r="E13" s="287"/>
      <c r="F13" s="310" t="s">
        <v>238</v>
      </c>
      <c r="G13" s="308" t="s">
        <v>239</v>
      </c>
      <c r="H13" s="309" t="s">
        <v>241</v>
      </c>
      <c r="I13" s="309"/>
      <c r="J13" s="311"/>
      <c r="K13" s="111" t="str">
        <f>VLOOKUP(L13,radky_R!A:O,15,0)</f>
        <v>Ocenitelná práva</v>
      </c>
      <c r="L13" s="288">
        <v>6</v>
      </c>
      <c r="M13" s="289">
        <f>IF($D13="calc",ROUND($A13*SUMIFS(data!$Y:$Y,data!$C:$C,INDEX!$D$11,data!$X:$X,M$4,data!$N:$N,$B13,data!$S:$S,$L13),0)+R13,SUMIFS(M:M,$C:$C,$D13))</f>
        <v>0</v>
      </c>
      <c r="N13" s="289">
        <f>IF($D13="calc",ROUND($A13*SUMIFS(data!$Y:$Y,data!$C:$C,INDEX!$D$11,data!$X:$X,N$4,data!$N:$N,$B13,data!$S:$S,$L13),0),SUMIFS(N:N,$C:$C,$D13))</f>
        <v>0</v>
      </c>
      <c r="O13" s="289">
        <f t="shared" si="0"/>
        <v>0</v>
      </c>
      <c r="P13" s="290">
        <f>IF($D13="calc",ROUND($A13*SUMIFS(data!$Y:$Y,data!$C:$C,INDEX!$E$11,data!$N:$N,$B13,data!$S:$S,$L13),0)+S13,SUMIFS(P:P,$C:$C,$D13))</f>
        <v>0</v>
      </c>
      <c r="R13" s="213"/>
      <c r="S13" s="213"/>
    </row>
    <row r="14" spans="1:19" s="296" customFormat="1" x14ac:dyDescent="0.2">
      <c r="A14" s="527">
        <v>1</v>
      </c>
      <c r="B14" s="525" t="s">
        <v>514</v>
      </c>
      <c r="C14" s="527" t="s">
        <v>750</v>
      </c>
      <c r="D14" s="527" t="s">
        <v>747</v>
      </c>
      <c r="E14" s="291"/>
      <c r="F14" s="497"/>
      <c r="G14" s="498"/>
      <c r="H14" s="500"/>
      <c r="I14" s="294" t="s">
        <v>240</v>
      </c>
      <c r="J14" s="312"/>
      <c r="K14" s="301" t="str">
        <f>VLOOKUP(L14,radky_R!A:O,15,0)</f>
        <v>Software</v>
      </c>
      <c r="L14" s="295">
        <v>7</v>
      </c>
      <c r="M14" s="303">
        <f>IF($D14="calc",ROUND($A14*SUMIFS(data!$Y:$Y,data!$C:$C,INDEX!$D$11,data!$X:$X,M$4,data!$N:$N,$B14,data!$S:$S,$L14),0)+R14,SUMIFS(M:M,$C:$C,$D14))</f>
        <v>0</v>
      </c>
      <c r="N14" s="303">
        <f>IF($D14="calc",ROUND($A14*SUMIFS(data!$Y:$Y,data!$C:$C,INDEX!$D$11,data!$X:$X,N$4,data!$N:$N,$B14,data!$S:$S,$L14),0),SUMIFS(N:N,$C:$C,$D14))</f>
        <v>0</v>
      </c>
      <c r="O14" s="303">
        <f t="shared" si="0"/>
        <v>0</v>
      </c>
      <c r="P14" s="304">
        <f>IF($D14="calc",ROUND($A14*SUMIFS(data!$Y:$Y,data!$C:$C,INDEX!$E$11,data!$N:$N,$B14,data!$S:$S,$L14),0)+S14,SUMIFS(P:P,$C:$C,$D14))</f>
        <v>0</v>
      </c>
      <c r="R14" s="297"/>
      <c r="S14" s="297"/>
    </row>
    <row r="15" spans="1:19" s="296" customFormat="1" x14ac:dyDescent="0.2">
      <c r="A15" s="527">
        <v>1</v>
      </c>
      <c r="B15" s="525" t="s">
        <v>514</v>
      </c>
      <c r="C15" s="527" t="s">
        <v>750</v>
      </c>
      <c r="D15" s="527" t="s">
        <v>747</v>
      </c>
      <c r="E15" s="291"/>
      <c r="F15" s="497"/>
      <c r="G15" s="498"/>
      <c r="H15" s="500"/>
      <c r="I15" s="294" t="s">
        <v>241</v>
      </c>
      <c r="J15" s="312"/>
      <c r="K15" s="302" t="str">
        <f>VLOOKUP(L15,radky_R!A:O,15,0)</f>
        <v>Ostatní ocenitelná práva</v>
      </c>
      <c r="L15" s="298">
        <v>8</v>
      </c>
      <c r="M15" s="305">
        <f>IF($D15="calc",ROUND($A15*SUMIFS(data!$Y:$Y,data!$C:$C,INDEX!$D$11,data!$X:$X,M$4,data!$N:$N,$B15,data!$S:$S,$L15),0)+R15,SUMIFS(M:M,$C:$C,$D15))</f>
        <v>0</v>
      </c>
      <c r="N15" s="305">
        <f>IF($D15="calc",ROUND($A15*SUMIFS(data!$Y:$Y,data!$C:$C,INDEX!$D$11,data!$X:$X,N$4,data!$N:$N,$B15,data!$S:$S,$L15),0),SUMIFS(N:N,$C:$C,$D15))</f>
        <v>0</v>
      </c>
      <c r="O15" s="305">
        <f t="shared" si="0"/>
        <v>0</v>
      </c>
      <c r="P15" s="306">
        <f>IF($D15="calc",ROUND($A15*SUMIFS(data!$Y:$Y,data!$C:$C,INDEX!$E$11,data!$N:$N,$B15,data!$S:$S,$L15),0)+S15,SUMIFS(P:P,$C:$C,$D15))</f>
        <v>0</v>
      </c>
      <c r="R15" s="299"/>
      <c r="S15" s="299"/>
    </row>
    <row r="16" spans="1:19" x14ac:dyDescent="0.2">
      <c r="A16" s="527">
        <v>1</v>
      </c>
      <c r="B16" s="525" t="s">
        <v>514</v>
      </c>
      <c r="C16" s="520" t="s">
        <v>749</v>
      </c>
      <c r="D16" s="520" t="s">
        <v>747</v>
      </c>
      <c r="E16" s="29"/>
      <c r="F16" s="307" t="s">
        <v>238</v>
      </c>
      <c r="G16" s="308" t="s">
        <v>239</v>
      </c>
      <c r="H16" s="309" t="s">
        <v>242</v>
      </c>
      <c r="I16" s="309"/>
      <c r="J16" s="311"/>
      <c r="K16" s="108" t="str">
        <f>VLOOKUP(L16,radky_R!A:O,15,0)</f>
        <v>Goodwill</v>
      </c>
      <c r="L16" s="576">
        <v>9</v>
      </c>
      <c r="M16" s="136">
        <f>IF($D16="calc",ROUND($A16*SUMIFS(data!$Y:$Y,data!$C:$C,INDEX!$D$11,data!$X:$X,M$4,data!$N:$N,$B16,data!$S:$S,$L16),0)+R16,SUMIFS(M:M,$C:$C,$D16))</f>
        <v>0</v>
      </c>
      <c r="N16" s="136">
        <f>IF($D16="calc",ROUND($A16*SUMIFS(data!$Y:$Y,data!$C:$C,INDEX!$D$11,data!$X:$X,N$4,data!$N:$N,$B16,data!$S:$S,$L16),0),SUMIFS(N:N,$C:$C,$D16))</f>
        <v>0</v>
      </c>
      <c r="O16" s="136">
        <f t="shared" si="0"/>
        <v>0</v>
      </c>
      <c r="P16" s="137">
        <f>IF($D16="calc",ROUND($A16*SUMIFS(data!$Y:$Y,data!$C:$C,INDEX!$E$11,data!$N:$N,$B16,data!$S:$S,$L16),0)+S16,SUMIFS(P:P,$C:$C,$D16))</f>
        <v>0</v>
      </c>
      <c r="Q16" s="11"/>
      <c r="R16" s="208"/>
      <c r="S16" s="208"/>
    </row>
    <row r="17" spans="1:19" x14ac:dyDescent="0.2">
      <c r="A17" s="527">
        <v>1</v>
      </c>
      <c r="B17" s="525" t="s">
        <v>514</v>
      </c>
      <c r="C17" s="520" t="s">
        <v>749</v>
      </c>
      <c r="D17" s="520" t="s">
        <v>747</v>
      </c>
      <c r="E17" s="29"/>
      <c r="F17" s="307" t="s">
        <v>238</v>
      </c>
      <c r="G17" s="308" t="s">
        <v>239</v>
      </c>
      <c r="H17" s="309" t="s">
        <v>243</v>
      </c>
      <c r="I17" s="309"/>
      <c r="J17" s="311"/>
      <c r="K17" s="108" t="str">
        <f>VLOOKUP(L17,radky_R!A:O,15,0)</f>
        <v>Ostatní dlouhodobý nehmotný majetek</v>
      </c>
      <c r="L17" s="576">
        <v>10</v>
      </c>
      <c r="M17" s="136">
        <f>IF($D17="calc",ROUND($A17*SUMIFS(data!$Y:$Y,data!$C:$C,INDEX!$D$11,data!$X:$X,M$4,data!$N:$N,$B17,data!$S:$S,$L17),0)+R17,SUMIFS(M:M,$C:$C,$D17))</f>
        <v>0</v>
      </c>
      <c r="N17" s="136">
        <f>IF($D17="calc",ROUND($A17*SUMIFS(data!$Y:$Y,data!$C:$C,INDEX!$D$11,data!$X:$X,N$4,data!$N:$N,$B17,data!$S:$S,$L17),0),SUMIFS(N:N,$C:$C,$D17))</f>
        <v>0</v>
      </c>
      <c r="O17" s="136">
        <f t="shared" si="0"/>
        <v>0</v>
      </c>
      <c r="P17" s="137">
        <f>IF($D17="calc",ROUND($A17*SUMIFS(data!$Y:$Y,data!$C:$C,INDEX!$E$11,data!$N:$N,$B17,data!$S:$S,$L17),0)+S17,SUMIFS(P:P,$C:$C,$D17))</f>
        <v>0</v>
      </c>
      <c r="Q17" s="11"/>
      <c r="R17" s="208"/>
      <c r="S17" s="208"/>
    </row>
    <row r="18" spans="1:19" s="27" customFormat="1" x14ac:dyDescent="0.2">
      <c r="A18" s="527">
        <v>1</v>
      </c>
      <c r="B18" s="525" t="s">
        <v>514</v>
      </c>
      <c r="C18" s="520" t="s">
        <v>749</v>
      </c>
      <c r="D18" s="524" t="s">
        <v>755</v>
      </c>
      <c r="E18" s="287"/>
      <c r="F18" s="307" t="s">
        <v>238</v>
      </c>
      <c r="G18" s="308" t="s">
        <v>239</v>
      </c>
      <c r="H18" s="309" t="s">
        <v>244</v>
      </c>
      <c r="I18" s="309"/>
      <c r="J18" s="311"/>
      <c r="K18" s="111" t="str">
        <f>VLOOKUP(L18,radky_R!A:O,15,0)</f>
        <v>Poskytnuté zálohy na dlouhodobý nehmotný majetek a nedokončený dlouhodobý nehmotný majetek</v>
      </c>
      <c r="L18" s="577">
        <v>11</v>
      </c>
      <c r="M18" s="289">
        <f>IF($D18="calc",ROUND($A18*SUMIFS(data!$Y:$Y,data!$C:$C,INDEX!$D$11,data!$X:$X,M$4,data!$N:$N,$B18,data!$S:$S,$L18),0)+R18,SUMIFS(M:M,$C:$C,$D18))</f>
        <v>0</v>
      </c>
      <c r="N18" s="289">
        <f>IF($D18="calc",ROUND($A18*SUMIFS(data!$Y:$Y,data!$C:$C,INDEX!$D$11,data!$X:$X,N$4,data!$N:$N,$B18,data!$S:$S,$L18),0),SUMIFS(N:N,$C:$C,$D18))</f>
        <v>0</v>
      </c>
      <c r="O18" s="289">
        <f t="shared" si="0"/>
        <v>0</v>
      </c>
      <c r="P18" s="290">
        <f>IF($D18="calc",ROUND($A18*SUMIFS(data!$Y:$Y,data!$C:$C,INDEX!$E$11,data!$N:$N,$B18,data!$S:$S,$L18),0)+S18,SUMIFS(P:P,$C:$C,$D18))</f>
        <v>0</v>
      </c>
      <c r="R18" s="213"/>
      <c r="S18" s="213"/>
    </row>
    <row r="19" spans="1:19" s="296" customFormat="1" x14ac:dyDescent="0.2">
      <c r="A19" s="527">
        <v>1</v>
      </c>
      <c r="B19" s="525" t="s">
        <v>514</v>
      </c>
      <c r="C19" s="527" t="s">
        <v>755</v>
      </c>
      <c r="D19" s="527" t="s">
        <v>747</v>
      </c>
      <c r="E19" s="291"/>
      <c r="F19" s="300"/>
      <c r="G19" s="293"/>
      <c r="H19" s="294"/>
      <c r="I19" s="294" t="s">
        <v>240</v>
      </c>
      <c r="J19" s="312"/>
      <c r="K19" s="301" t="str">
        <f>VLOOKUP(L19,radky_R!A:O,15,0)</f>
        <v>Poskytnuté zálohy na dlouhodobý nehmotný majetek</v>
      </c>
      <c r="L19" s="578">
        <v>12</v>
      </c>
      <c r="M19" s="303">
        <f>IF($D19="calc",ROUND($A19*SUMIFS(data!$Y:$Y,data!$C:$C,INDEX!$D$11,data!$X:$X,M$4,data!$N:$N,$B19,data!$S:$S,$L19),0)+R19,SUMIFS(M:M,$C:$C,$D19))</f>
        <v>0</v>
      </c>
      <c r="N19" s="303">
        <f>IF($D19="calc",ROUND($A19*SUMIFS(data!$Y:$Y,data!$C:$C,INDEX!$D$11,data!$X:$X,N$4,data!$N:$N,$B19,data!$S:$S,$L19),0),SUMIFS(N:N,$C:$C,$D19))</f>
        <v>0</v>
      </c>
      <c r="O19" s="303">
        <f t="shared" si="0"/>
        <v>0</v>
      </c>
      <c r="P19" s="304">
        <f>IF($D19="calc",ROUND($A19*SUMIFS(data!$Y:$Y,data!$C:$C,INDEX!$E$11,data!$N:$N,$B19,data!$S:$S,$L19),0)+S19,SUMIFS(P:P,$C:$C,$D19))</f>
        <v>0</v>
      </c>
      <c r="R19" s="297"/>
      <c r="S19" s="297"/>
    </row>
    <row r="20" spans="1:19" s="296" customFormat="1" x14ac:dyDescent="0.2">
      <c r="A20" s="527">
        <v>1</v>
      </c>
      <c r="B20" s="525" t="s">
        <v>514</v>
      </c>
      <c r="C20" s="527" t="s">
        <v>755</v>
      </c>
      <c r="D20" s="527" t="s">
        <v>747</v>
      </c>
      <c r="E20" s="291"/>
      <c r="F20" s="349"/>
      <c r="G20" s="350"/>
      <c r="H20" s="351"/>
      <c r="I20" s="351" t="s">
        <v>241</v>
      </c>
      <c r="J20" s="352"/>
      <c r="K20" s="302" t="str">
        <f>VLOOKUP(L20,radky_R!A:O,15,0)</f>
        <v>Nedokončený dlouhodobý nehmotný majetek</v>
      </c>
      <c r="L20" s="579">
        <v>13</v>
      </c>
      <c r="M20" s="305">
        <f>IF($D20="calc",ROUND($A20*SUMIFS(data!$Y:$Y,data!$C:$C,INDEX!$D$11,data!$X:$X,M$4,data!$N:$N,$B20,data!$S:$S,$L20),0)+R20,SUMIFS(M:M,$C:$C,$D20))</f>
        <v>0</v>
      </c>
      <c r="N20" s="305">
        <f>IF($D20="calc",ROUND($A20*SUMIFS(data!$Y:$Y,data!$C:$C,INDEX!$D$11,data!$X:$X,N$4,data!$N:$N,$B20,data!$S:$S,$L20),0),SUMIFS(N:N,$C:$C,$D20))</f>
        <v>0</v>
      </c>
      <c r="O20" s="305">
        <f t="shared" si="0"/>
        <v>0</v>
      </c>
      <c r="P20" s="306">
        <f>IF($D20="calc",ROUND($A20*SUMIFS(data!$Y:$Y,data!$C:$C,INDEX!$E$11,data!$N:$N,$B20,data!$S:$S,$L20),0)+S20,SUMIFS(P:P,$C:$C,$D20))</f>
        <v>0</v>
      </c>
      <c r="R20" s="299"/>
      <c r="S20" s="299"/>
    </row>
    <row r="21" spans="1:19" x14ac:dyDescent="0.2">
      <c r="A21" s="527">
        <v>1</v>
      </c>
      <c r="B21" s="525" t="s">
        <v>514</v>
      </c>
      <c r="C21" s="520" t="s">
        <v>238</v>
      </c>
      <c r="D21" s="520" t="s">
        <v>751</v>
      </c>
      <c r="E21" s="29"/>
      <c r="F21" s="281" t="s">
        <v>238</v>
      </c>
      <c r="G21" s="282" t="s">
        <v>249</v>
      </c>
      <c r="H21" s="282"/>
      <c r="I21" s="282"/>
      <c r="J21" s="282"/>
      <c r="K21" s="106" t="str">
        <f>VLOOKUP(L21,radky_R!A:O,15,0)</f>
        <v>Dlouhodobý hmotný majetek      (ř. 15 + 18 + 19 + 20 + 24)</v>
      </c>
      <c r="L21" s="581">
        <v>14</v>
      </c>
      <c r="M21" s="133">
        <f>IF($D21="calc",ROUND($A21*SUMIFS(data!$Y:$Y,data!$C:$C,INDEX!$D$11,data!$X:$X,M$4,data!$N:$N,$B21,data!$S:$S,$L21),0)+R21,SUMIFS(M:M,$C:$C,$D21))</f>
        <v>0</v>
      </c>
      <c r="N21" s="133">
        <f>IF($D21="calc",ROUND($A21*SUMIFS(data!$Y:$Y,data!$C:$C,INDEX!$D$11,data!$X:$X,N$4,data!$N:$N,$B21,data!$S:$S,$L21),0),SUMIFS(N:N,$C:$C,$D21))</f>
        <v>0</v>
      </c>
      <c r="O21" s="133">
        <f t="shared" si="0"/>
        <v>0</v>
      </c>
      <c r="P21" s="134">
        <f>IF($D21="calc",ROUND($A21*SUMIFS(data!$Y:$Y,data!$C:$C,INDEX!$E$11,data!$N:$N,$B21,data!$S:$S,$L21),0)+S21,SUMIFS(P:P,$C:$C,$D21))</f>
        <v>0</v>
      </c>
      <c r="Q21" s="11"/>
      <c r="R21" s="213"/>
      <c r="S21" s="213"/>
    </row>
    <row r="22" spans="1:19" s="27" customFormat="1" x14ac:dyDescent="0.2">
      <c r="A22" s="527">
        <v>1</v>
      </c>
      <c r="B22" s="525" t="s">
        <v>514</v>
      </c>
      <c r="C22" s="524" t="s">
        <v>751</v>
      </c>
      <c r="D22" s="524" t="s">
        <v>752</v>
      </c>
      <c r="E22" s="287"/>
      <c r="F22" s="310" t="s">
        <v>238</v>
      </c>
      <c r="G22" s="308" t="s">
        <v>249</v>
      </c>
      <c r="H22" s="309" t="s">
        <v>240</v>
      </c>
      <c r="I22" s="309"/>
      <c r="J22" s="311"/>
      <c r="K22" s="111" t="str">
        <f>VLOOKUP(L22,radky_R!A:O,15,0)</f>
        <v>Pozemky a stavby</v>
      </c>
      <c r="L22" s="577">
        <v>15</v>
      </c>
      <c r="M22" s="289">
        <f>IF($D22="calc",ROUND($A22*SUMIFS(data!$Y:$Y,data!$C:$C,INDEX!$D$11,data!$X:$X,M$4,data!$N:$N,$B22,data!$S:$S,$L22),0)+R22,SUMIFS(M:M,$C:$C,$D22))</f>
        <v>0</v>
      </c>
      <c r="N22" s="289">
        <f>IF($D22="calc",ROUND($A22*SUMIFS(data!$Y:$Y,data!$C:$C,INDEX!$D$11,data!$X:$X,N$4,data!$N:$N,$B22,data!$S:$S,$L22),0),SUMIFS(N:N,$C:$C,$D22))</f>
        <v>0</v>
      </c>
      <c r="O22" s="289">
        <f t="shared" si="0"/>
        <v>0</v>
      </c>
      <c r="P22" s="290">
        <f>IF($D22="calc",ROUND($A22*SUMIFS(data!$Y:$Y,data!$C:$C,INDEX!$E$11,data!$N:$N,$B22,data!$S:$S,$L22),0)+S22,SUMIFS(P:P,$C:$C,$D22))</f>
        <v>0</v>
      </c>
      <c r="R22" s="213"/>
      <c r="S22" s="213"/>
    </row>
    <row r="23" spans="1:19" s="296" customFormat="1" x14ac:dyDescent="0.2">
      <c r="A23" s="527">
        <v>1</v>
      </c>
      <c r="B23" s="525" t="s">
        <v>514</v>
      </c>
      <c r="C23" s="527" t="s">
        <v>752</v>
      </c>
      <c r="D23" s="527" t="s">
        <v>747</v>
      </c>
      <c r="E23" s="291"/>
      <c r="F23" s="292"/>
      <c r="G23" s="293"/>
      <c r="H23" s="294"/>
      <c r="I23" s="294" t="s">
        <v>240</v>
      </c>
      <c r="J23" s="312"/>
      <c r="K23" s="301" t="str">
        <f>VLOOKUP(L23,radky_R!A:O,15,0)</f>
        <v>Pozemky</v>
      </c>
      <c r="L23" s="578">
        <v>16</v>
      </c>
      <c r="M23" s="303">
        <f>IF($D23="calc",ROUND($A23*SUMIFS(data!$Y:$Y,data!$C:$C,INDEX!$D$11,data!$X:$X,M$4,data!$N:$N,$B23,data!$S:$S,$L23),0)+R23,SUMIFS(M:M,$C:$C,$D23))</f>
        <v>0</v>
      </c>
      <c r="N23" s="303">
        <f>IF($D23="calc",ROUND($A23*SUMIFS(data!$Y:$Y,data!$C:$C,INDEX!$D$11,data!$X:$X,N$4,data!$N:$N,$B23,data!$S:$S,$L23),0),SUMIFS(N:N,$C:$C,$D23))</f>
        <v>0</v>
      </c>
      <c r="O23" s="303">
        <f t="shared" si="0"/>
        <v>0</v>
      </c>
      <c r="P23" s="304">
        <f>IF($D23="calc",ROUND($A23*SUMIFS(data!$Y:$Y,data!$C:$C,INDEX!$E$11,data!$N:$N,$B23,data!$S:$S,$L23),0)+S23,SUMIFS(P:P,$C:$C,$D23))</f>
        <v>0</v>
      </c>
      <c r="R23" s="297"/>
      <c r="S23" s="297"/>
    </row>
    <row r="24" spans="1:19" s="296" customFormat="1" x14ac:dyDescent="0.2">
      <c r="A24" s="527">
        <v>1</v>
      </c>
      <c r="B24" s="525" t="s">
        <v>514</v>
      </c>
      <c r="C24" s="527" t="s">
        <v>752</v>
      </c>
      <c r="D24" s="527" t="s">
        <v>747</v>
      </c>
      <c r="E24" s="291"/>
      <c r="F24" s="292"/>
      <c r="G24" s="293"/>
      <c r="H24" s="294"/>
      <c r="I24" s="294" t="s">
        <v>241</v>
      </c>
      <c r="J24" s="312"/>
      <c r="K24" s="302" t="str">
        <f>VLOOKUP(L24,radky_R!A:O,15,0)</f>
        <v>Stavby</v>
      </c>
      <c r="L24" s="579">
        <v>17</v>
      </c>
      <c r="M24" s="305">
        <f>IF($D24="calc",ROUND($A24*SUMIFS(data!$Y:$Y,data!$C:$C,INDEX!$D$11,data!$X:$X,M$4,data!$N:$N,$B24,data!$S:$S,$L24),0)+R24,SUMIFS(M:M,$C:$C,$D24))</f>
        <v>0</v>
      </c>
      <c r="N24" s="305">
        <f>IF($D24="calc",ROUND($A24*SUMIFS(data!$Y:$Y,data!$C:$C,INDEX!$D$11,data!$X:$X,N$4,data!$N:$N,$B24,data!$S:$S,$L24),0),SUMIFS(N:N,$C:$C,$D24))</f>
        <v>0</v>
      </c>
      <c r="O24" s="305">
        <f t="shared" si="0"/>
        <v>0</v>
      </c>
      <c r="P24" s="306">
        <f>IF($D24="calc",ROUND($A24*SUMIFS(data!$Y:$Y,data!$C:$C,INDEX!$E$11,data!$N:$N,$B24,data!$S:$S,$L24),0)+S24,SUMIFS(P:P,$C:$C,$D24))</f>
        <v>0</v>
      </c>
      <c r="R24" s="299"/>
      <c r="S24" s="299"/>
    </row>
    <row r="25" spans="1:19" x14ac:dyDescent="0.2">
      <c r="A25" s="527">
        <v>1</v>
      </c>
      <c r="B25" s="525" t="s">
        <v>514</v>
      </c>
      <c r="C25" s="524" t="s">
        <v>751</v>
      </c>
      <c r="D25" s="520" t="s">
        <v>747</v>
      </c>
      <c r="E25" s="29"/>
      <c r="F25" s="307" t="s">
        <v>238</v>
      </c>
      <c r="G25" s="308" t="s">
        <v>249</v>
      </c>
      <c r="H25" s="309" t="s">
        <v>241</v>
      </c>
      <c r="I25" s="309"/>
      <c r="J25" s="311"/>
      <c r="K25" s="108" t="str">
        <f>VLOOKUP(L25,radky_R!A:O,15,0)</f>
        <v>Hmotné movité věci a jejich soubory</v>
      </c>
      <c r="L25" s="576">
        <v>18</v>
      </c>
      <c r="M25" s="136">
        <f>IF($D25="calc",ROUND($A25*SUMIFS(data!$Y:$Y,data!$C:$C,INDEX!$D$11,data!$X:$X,M$4,data!$N:$N,$B25,data!$S:$S,$L25),0)+R25,SUMIFS(M:M,$C:$C,$D25))</f>
        <v>0</v>
      </c>
      <c r="N25" s="136">
        <f>IF($D25="calc",ROUND($A25*SUMIFS(data!$Y:$Y,data!$C:$C,INDEX!$D$11,data!$X:$X,N$4,data!$N:$N,$B25,data!$S:$S,$L25),0),SUMIFS(N:N,$C:$C,$D25))</f>
        <v>0</v>
      </c>
      <c r="O25" s="136">
        <f t="shared" si="0"/>
        <v>0</v>
      </c>
      <c r="P25" s="137">
        <f>IF($D25="calc",ROUND($A25*SUMIFS(data!$Y:$Y,data!$C:$C,INDEX!$E$11,data!$N:$N,$B25,data!$S:$S,$L25),0)+S25,SUMIFS(P:P,$C:$C,$D25))</f>
        <v>0</v>
      </c>
      <c r="Q25" s="11"/>
      <c r="R25" s="208"/>
      <c r="S25" s="208"/>
    </row>
    <row r="26" spans="1:19" x14ac:dyDescent="0.2">
      <c r="A26" s="527">
        <v>1</v>
      </c>
      <c r="B26" s="525" t="s">
        <v>514</v>
      </c>
      <c r="C26" s="524" t="s">
        <v>751</v>
      </c>
      <c r="D26" s="520" t="s">
        <v>747</v>
      </c>
      <c r="E26" s="29"/>
      <c r="F26" s="307" t="s">
        <v>238</v>
      </c>
      <c r="G26" s="308" t="s">
        <v>249</v>
      </c>
      <c r="H26" s="309" t="s">
        <v>242</v>
      </c>
      <c r="I26" s="309"/>
      <c r="J26" s="311"/>
      <c r="K26" s="108" t="str">
        <f>VLOOKUP(L26,radky_R!A:O,15,0)</f>
        <v>Oceňovací rozdíl k nabytému majetku</v>
      </c>
      <c r="L26" s="576">
        <v>19</v>
      </c>
      <c r="M26" s="136">
        <f>IF($D26="calc",ROUND($A26*SUMIFS(data!$Y:$Y,data!$C:$C,INDEX!$D$11,data!$X:$X,M$4,data!$N:$N,$B26,data!$S:$S,$L26),0)+R26,SUMIFS(M:M,$C:$C,$D26))</f>
        <v>0</v>
      </c>
      <c r="N26" s="136">
        <f>IF($D26="calc",ROUND($A26*SUMIFS(data!$Y:$Y,data!$C:$C,INDEX!$D$11,data!$X:$X,N$4,data!$N:$N,$B26,data!$S:$S,$L26),0),SUMIFS(N:N,$C:$C,$D26))</f>
        <v>0</v>
      </c>
      <c r="O26" s="136">
        <f t="shared" si="0"/>
        <v>0</v>
      </c>
      <c r="P26" s="137">
        <f>IF($D26="calc",ROUND($A26*SUMIFS(data!$Y:$Y,data!$C:$C,INDEX!$E$11,data!$N:$N,$B26,data!$S:$S,$L26),0)+S26,SUMIFS(P:P,$C:$C,$D26))</f>
        <v>0</v>
      </c>
      <c r="Q26" s="11"/>
      <c r="R26" s="208"/>
      <c r="S26" s="208"/>
    </row>
    <row r="27" spans="1:19" s="27" customFormat="1" x14ac:dyDescent="0.2">
      <c r="A27" s="527">
        <v>1</v>
      </c>
      <c r="B27" s="525" t="s">
        <v>514</v>
      </c>
      <c r="C27" s="524" t="s">
        <v>751</v>
      </c>
      <c r="D27" s="524" t="s">
        <v>765</v>
      </c>
      <c r="E27" s="287"/>
      <c r="F27" s="307" t="s">
        <v>238</v>
      </c>
      <c r="G27" s="308" t="s">
        <v>249</v>
      </c>
      <c r="H27" s="309" t="s">
        <v>243</v>
      </c>
      <c r="I27" s="309"/>
      <c r="J27" s="311"/>
      <c r="K27" s="111" t="str">
        <f>VLOOKUP(L27,radky_R!A:O,15,0)</f>
        <v>Ostatní dlouhodobý hmotný majetek</v>
      </c>
      <c r="L27" s="577">
        <v>20</v>
      </c>
      <c r="M27" s="289">
        <f>IF($D27="calc",ROUND($A27*SUMIFS(data!$Y:$Y,data!$C:$C,INDEX!$D$11,data!$X:$X,M$4,data!$N:$N,$B27,data!$S:$S,$L27),0)+R27,SUMIFS(M:M,$C:$C,$D27))</f>
        <v>0</v>
      </c>
      <c r="N27" s="289">
        <f>IF($D27="calc",ROUND($A27*SUMIFS(data!$Y:$Y,data!$C:$C,INDEX!$D$11,data!$X:$X,N$4,data!$N:$N,$B27,data!$S:$S,$L27),0),SUMIFS(N:N,$C:$C,$D27))</f>
        <v>0</v>
      </c>
      <c r="O27" s="289">
        <f t="shared" si="0"/>
        <v>0</v>
      </c>
      <c r="P27" s="290">
        <f>IF($D27="calc",ROUND($A27*SUMIFS(data!$Y:$Y,data!$C:$C,INDEX!$E$11,data!$N:$N,$B27,data!$S:$S,$L27),0)+S27,SUMIFS(P:P,$C:$C,$D27))</f>
        <v>0</v>
      </c>
      <c r="R27" s="213"/>
      <c r="S27" s="213"/>
    </row>
    <row r="28" spans="1:19" s="296" customFormat="1" x14ac:dyDescent="0.2">
      <c r="A28" s="527">
        <v>1</v>
      </c>
      <c r="B28" s="525" t="s">
        <v>514</v>
      </c>
      <c r="C28" s="524" t="s">
        <v>765</v>
      </c>
      <c r="D28" s="527" t="s">
        <v>747</v>
      </c>
      <c r="E28" s="291"/>
      <c r="F28" s="300"/>
      <c r="G28" s="293"/>
      <c r="H28" s="294"/>
      <c r="I28" s="294" t="s">
        <v>240</v>
      </c>
      <c r="J28" s="312"/>
      <c r="K28" s="301" t="str">
        <f>VLOOKUP(L28,radky_R!A:O,15,0)</f>
        <v>Pěstitelské celky trvalých porostů</v>
      </c>
      <c r="L28" s="578">
        <v>21</v>
      </c>
      <c r="M28" s="303">
        <f>IF($D28="calc",ROUND($A28*SUMIFS(data!$Y:$Y,data!$C:$C,INDEX!$D$11,data!$X:$X,M$4,data!$N:$N,$B28,data!$S:$S,$L28),0)+R28,SUMIFS(M:M,$C:$C,$D28))</f>
        <v>0</v>
      </c>
      <c r="N28" s="303">
        <f>IF($D28="calc",ROUND($A28*SUMIFS(data!$Y:$Y,data!$C:$C,INDEX!$D$11,data!$X:$X,N$4,data!$N:$N,$B28,data!$S:$S,$L28),0),SUMIFS(N:N,$C:$C,$D28))</f>
        <v>0</v>
      </c>
      <c r="O28" s="303">
        <f t="shared" si="0"/>
        <v>0</v>
      </c>
      <c r="P28" s="304">
        <f>IF($D28="calc",ROUND($A28*SUMIFS(data!$Y:$Y,data!$C:$C,INDEX!$E$11,data!$N:$N,$B28,data!$S:$S,$L28),0)+S28,SUMIFS(P:P,$C:$C,$D28))</f>
        <v>0</v>
      </c>
      <c r="R28" s="297"/>
      <c r="S28" s="297"/>
    </row>
    <row r="29" spans="1:19" s="296" customFormat="1" x14ac:dyDescent="0.2">
      <c r="A29" s="527">
        <v>1</v>
      </c>
      <c r="B29" s="525" t="s">
        <v>514</v>
      </c>
      <c r="C29" s="524" t="s">
        <v>765</v>
      </c>
      <c r="D29" s="527" t="s">
        <v>747</v>
      </c>
      <c r="E29" s="291"/>
      <c r="F29" s="300"/>
      <c r="G29" s="293"/>
      <c r="H29" s="294"/>
      <c r="I29" s="294" t="s">
        <v>241</v>
      </c>
      <c r="J29" s="312"/>
      <c r="K29" s="301" t="str">
        <f>VLOOKUP(L29,radky_R!A:O,15,0)</f>
        <v>Dospělá zvířata a jejich skupiny</v>
      </c>
      <c r="L29" s="578">
        <v>22</v>
      </c>
      <c r="M29" s="303">
        <f>IF($D29="calc",ROUND($A29*SUMIFS(data!$Y:$Y,data!$C:$C,INDEX!$D$11,data!$X:$X,M$4,data!$N:$N,$B29,data!$S:$S,$L29),0)+R29,SUMIFS(M:M,$C:$C,$D29))</f>
        <v>0</v>
      </c>
      <c r="N29" s="303">
        <f>IF($D29="calc",ROUND($A29*SUMIFS(data!$Y:$Y,data!$C:$C,INDEX!$D$11,data!$X:$X,N$4,data!$N:$N,$B29,data!$S:$S,$L29),0),SUMIFS(N:N,$C:$C,$D29))</f>
        <v>0</v>
      </c>
      <c r="O29" s="303">
        <f t="shared" si="0"/>
        <v>0</v>
      </c>
      <c r="P29" s="304">
        <f>IF($D29="calc",ROUND($A29*SUMIFS(data!$Y:$Y,data!$C:$C,INDEX!$E$11,data!$N:$N,$B29,data!$S:$S,$L29),0)+S29,SUMIFS(P:P,$C:$C,$D29))</f>
        <v>0</v>
      </c>
      <c r="R29" s="297"/>
      <c r="S29" s="297"/>
    </row>
    <row r="30" spans="1:19" s="296" customFormat="1" x14ac:dyDescent="0.2">
      <c r="A30" s="527">
        <v>1</v>
      </c>
      <c r="B30" s="525" t="s">
        <v>514</v>
      </c>
      <c r="C30" s="524" t="s">
        <v>765</v>
      </c>
      <c r="D30" s="527" t="s">
        <v>747</v>
      </c>
      <c r="E30" s="291"/>
      <c r="F30" s="300"/>
      <c r="G30" s="293"/>
      <c r="H30" s="294"/>
      <c r="I30" s="294" t="s">
        <v>242</v>
      </c>
      <c r="J30" s="312"/>
      <c r="K30" s="301" t="str">
        <f>VLOOKUP(L30,radky_R!A:O,15,0)</f>
        <v>Jiný dlouhodobý hmotný majetek</v>
      </c>
      <c r="L30" s="578">
        <v>23</v>
      </c>
      <c r="M30" s="303">
        <f>IF($D30="calc",ROUND($A30*SUMIFS(data!$Y:$Y,data!$C:$C,INDEX!$D$11,data!$X:$X,M$4,data!$N:$N,$B30,data!$S:$S,$L30),0)+R30,SUMIFS(M:M,$C:$C,$D30))</f>
        <v>0</v>
      </c>
      <c r="N30" s="303">
        <f>IF($D30="calc",ROUND($A30*SUMIFS(data!$Y:$Y,data!$C:$C,INDEX!$D$11,data!$X:$X,N$4,data!$N:$N,$B30,data!$S:$S,$L30),0),SUMIFS(N:N,$C:$C,$D30))</f>
        <v>0</v>
      </c>
      <c r="O30" s="303">
        <f t="shared" si="0"/>
        <v>0</v>
      </c>
      <c r="P30" s="304">
        <f>IF($D30="calc",ROUND($A30*SUMIFS(data!$Y:$Y,data!$C:$C,INDEX!$E$11,data!$N:$N,$B30,data!$S:$S,$L30),0)+S30,SUMIFS(P:P,$C:$C,$D30))</f>
        <v>0</v>
      </c>
      <c r="R30" s="297"/>
      <c r="S30" s="297"/>
    </row>
    <row r="31" spans="1:19" s="27" customFormat="1" x14ac:dyDescent="0.2">
      <c r="A31" s="527">
        <v>1</v>
      </c>
      <c r="B31" s="525" t="s">
        <v>514</v>
      </c>
      <c r="C31" s="524" t="s">
        <v>751</v>
      </c>
      <c r="D31" s="524" t="s">
        <v>766</v>
      </c>
      <c r="E31" s="287"/>
      <c r="F31" s="310" t="s">
        <v>238</v>
      </c>
      <c r="G31" s="308" t="s">
        <v>249</v>
      </c>
      <c r="H31" s="309" t="s">
        <v>244</v>
      </c>
      <c r="I31" s="309"/>
      <c r="J31" s="311"/>
      <c r="K31" s="111" t="str">
        <f>VLOOKUP(L31,radky_R!A:O,15,0)</f>
        <v>Poskytnuté zálohy na dlouhodobý hmotný majetek a nedokončený dlouhodobý hmotný majetek</v>
      </c>
      <c r="L31" s="577">
        <v>24</v>
      </c>
      <c r="M31" s="289">
        <f>IF($D31="calc",ROUND($A31*SUMIFS(data!$Y:$Y,data!$C:$C,INDEX!$D$11,data!$X:$X,M$4,data!$N:$N,$B31,data!$S:$S,$L31),0)+R31,SUMIFS(M:M,$C:$C,$D31))</f>
        <v>0</v>
      </c>
      <c r="N31" s="289">
        <f>IF($D31="calc",ROUND($A31*SUMIFS(data!$Y:$Y,data!$C:$C,INDEX!$D$11,data!$X:$X,N$4,data!$N:$N,$B31,data!$S:$S,$L31),0),SUMIFS(N:N,$C:$C,$D31))</f>
        <v>0</v>
      </c>
      <c r="O31" s="289">
        <f t="shared" si="0"/>
        <v>0</v>
      </c>
      <c r="P31" s="290">
        <f>IF($D31="calc",ROUND($A31*SUMIFS(data!$Y:$Y,data!$C:$C,INDEX!$E$11,data!$N:$N,$B31,data!$S:$S,$L31),0)+S31,SUMIFS(P:P,$C:$C,$D31))</f>
        <v>0</v>
      </c>
      <c r="R31" s="213"/>
      <c r="S31" s="213"/>
    </row>
    <row r="32" spans="1:19" s="296" customFormat="1" x14ac:dyDescent="0.2">
      <c r="A32" s="527">
        <v>1</v>
      </c>
      <c r="B32" s="525" t="s">
        <v>514</v>
      </c>
      <c r="C32" s="524" t="s">
        <v>766</v>
      </c>
      <c r="D32" s="527" t="s">
        <v>747</v>
      </c>
      <c r="E32" s="291"/>
      <c r="F32" s="292"/>
      <c r="G32" s="293"/>
      <c r="H32" s="294"/>
      <c r="I32" s="294" t="s">
        <v>240</v>
      </c>
      <c r="J32" s="312"/>
      <c r="K32" s="301" t="str">
        <f>VLOOKUP(L32,radky_R!A:O,15,0)</f>
        <v>Poskytnuté zálohy na dlouhodobý hmotný majetek</v>
      </c>
      <c r="L32" s="578">
        <v>25</v>
      </c>
      <c r="M32" s="303">
        <f>IF($D32="calc",ROUND($A32*SUMIFS(data!$Y:$Y,data!$C:$C,INDEX!$D$11,data!$X:$X,M$4,data!$N:$N,$B32,data!$S:$S,$L32),0)+R32,SUMIFS(M:M,$C:$C,$D32))</f>
        <v>0</v>
      </c>
      <c r="N32" s="303">
        <f>IF($D32="calc",ROUND($A32*SUMIFS(data!$Y:$Y,data!$C:$C,INDEX!$D$11,data!$X:$X,N$4,data!$N:$N,$B32,data!$S:$S,$L32),0),SUMIFS(N:N,$C:$C,$D32))</f>
        <v>0</v>
      </c>
      <c r="O32" s="303">
        <f t="shared" si="0"/>
        <v>0</v>
      </c>
      <c r="P32" s="304">
        <f>IF($D32="calc",ROUND($A32*SUMIFS(data!$Y:$Y,data!$C:$C,INDEX!$E$11,data!$N:$N,$B32,data!$S:$S,$L32),0)+S32,SUMIFS(P:P,$C:$C,$D32))</f>
        <v>0</v>
      </c>
      <c r="R32" s="297"/>
      <c r="S32" s="297"/>
    </row>
    <row r="33" spans="1:19" s="296" customFormat="1" x14ac:dyDescent="0.2">
      <c r="A33" s="527">
        <v>1</v>
      </c>
      <c r="B33" s="525" t="s">
        <v>514</v>
      </c>
      <c r="C33" s="524" t="s">
        <v>766</v>
      </c>
      <c r="D33" s="527" t="s">
        <v>747</v>
      </c>
      <c r="E33" s="291"/>
      <c r="F33" s="353"/>
      <c r="G33" s="350"/>
      <c r="H33" s="351"/>
      <c r="I33" s="351" t="s">
        <v>241</v>
      </c>
      <c r="J33" s="352"/>
      <c r="K33" s="302" t="str">
        <f>VLOOKUP(L33,radky_R!A:O,15,0)</f>
        <v>Nedokončený dlouhodobý hmotný majetek</v>
      </c>
      <c r="L33" s="298">
        <v>26</v>
      </c>
      <c r="M33" s="305">
        <f>IF($D33="calc",ROUND($A33*SUMIFS(data!$Y:$Y,data!$C:$C,INDEX!$D$11,data!$X:$X,M$4,data!$N:$N,$B33,data!$S:$S,$L33),0)+R33,SUMIFS(M:M,$C:$C,$D33))</f>
        <v>0</v>
      </c>
      <c r="N33" s="305">
        <f>IF($D33="calc",ROUND($A33*SUMIFS(data!$Y:$Y,data!$C:$C,INDEX!$D$11,data!$X:$X,N$4,data!$N:$N,$B33,data!$S:$S,$L33),0),SUMIFS(N:N,$C:$C,$D33))</f>
        <v>0</v>
      </c>
      <c r="O33" s="305">
        <f t="shared" si="0"/>
        <v>0</v>
      </c>
      <c r="P33" s="306">
        <f>IF($D33="calc",ROUND($A33*SUMIFS(data!$Y:$Y,data!$C:$C,INDEX!$E$11,data!$N:$N,$B33,data!$S:$S,$L33),0)+S33,SUMIFS(P:P,$C:$C,$D33))</f>
        <v>0</v>
      </c>
      <c r="R33" s="299"/>
      <c r="S33" s="299"/>
    </row>
    <row r="34" spans="1:19" x14ac:dyDescent="0.2">
      <c r="A34" s="527">
        <v>1</v>
      </c>
      <c r="B34" s="525" t="s">
        <v>514</v>
      </c>
      <c r="C34" s="520" t="s">
        <v>238</v>
      </c>
      <c r="D34" s="520" t="s">
        <v>767</v>
      </c>
      <c r="E34" s="29"/>
      <c r="F34" s="145" t="s">
        <v>238</v>
      </c>
      <c r="G34" s="146" t="s">
        <v>254</v>
      </c>
      <c r="H34" s="146"/>
      <c r="I34" s="146"/>
      <c r="J34" s="146"/>
      <c r="K34" s="106" t="str">
        <f>VLOOKUP(L34,radky_R!A:O,15,0)</f>
        <v>Dlouhodobý finanční majetek      (ř. 28 až 34)</v>
      </c>
      <c r="L34" s="147">
        <v>27</v>
      </c>
      <c r="M34" s="133">
        <f>IF($D34="calc",ROUND($A34*SUMIFS(data!$Y:$Y,data!$C:$C,INDEX!$D$11,data!$X:$X,M$4,data!$N:$N,$B34,data!$S:$S,$L34),0)+R34,SUMIFS(M:M,$C:$C,$D34))</f>
        <v>0</v>
      </c>
      <c r="N34" s="133">
        <f>IF($D34="calc",ROUND($A34*SUMIFS(data!$Y:$Y,data!$C:$C,INDEX!$D$11,data!$X:$X,N$4,data!$N:$N,$B34,data!$S:$S,$L34),0),SUMIFS(N:N,$C:$C,$D34))</f>
        <v>0</v>
      </c>
      <c r="O34" s="133">
        <f t="shared" si="0"/>
        <v>0</v>
      </c>
      <c r="P34" s="134">
        <f>IF($D34="calc",ROUND($A34*SUMIFS(data!$Y:$Y,data!$C:$C,INDEX!$E$11,data!$N:$N,$B34,data!$S:$S,$L34),0)+S34,SUMIFS(P:P,$C:$C,$D34))</f>
        <v>0</v>
      </c>
      <c r="Q34" s="11"/>
      <c r="R34" s="213"/>
      <c r="S34" s="213"/>
    </row>
    <row r="35" spans="1:19" x14ac:dyDescent="0.2">
      <c r="A35" s="527">
        <v>1</v>
      </c>
      <c r="B35" s="525" t="s">
        <v>514</v>
      </c>
      <c r="C35" s="520" t="s">
        <v>767</v>
      </c>
      <c r="D35" s="520" t="s">
        <v>747</v>
      </c>
      <c r="E35" s="29"/>
      <c r="F35" s="307" t="s">
        <v>238</v>
      </c>
      <c r="G35" s="308" t="s">
        <v>254</v>
      </c>
      <c r="H35" s="309" t="s">
        <v>240</v>
      </c>
      <c r="I35" s="309"/>
      <c r="J35" s="311"/>
      <c r="K35" s="108" t="str">
        <f>VLOOKUP(L35,radky_R!A:O,15,0)</f>
        <v>Podíly - ovládaná nebo ovládající osoba</v>
      </c>
      <c r="L35" s="135">
        <v>28</v>
      </c>
      <c r="M35" s="136">
        <f>IF($D35="calc",ROUND($A35*SUMIFS(data!$Y:$Y,data!$C:$C,INDEX!$D$11,data!$X:$X,M$4,data!$N:$N,$B35,data!$S:$S,$L35),0)+R35,SUMIFS(M:M,$C:$C,$D35))</f>
        <v>0</v>
      </c>
      <c r="N35" s="136">
        <f>IF($D35="calc",ROUND($A35*SUMIFS(data!$Y:$Y,data!$C:$C,INDEX!$D$11,data!$X:$X,N$4,data!$N:$N,$B35,data!$S:$S,$L35),0),SUMIFS(N:N,$C:$C,$D35))</f>
        <v>0</v>
      </c>
      <c r="O35" s="136">
        <f t="shared" si="0"/>
        <v>0</v>
      </c>
      <c r="P35" s="137">
        <f>IF($D35="calc",ROUND($A35*SUMIFS(data!$Y:$Y,data!$C:$C,INDEX!$E$11,data!$N:$N,$B35,data!$S:$S,$L35),0)+S35,SUMIFS(P:P,$C:$C,$D35))</f>
        <v>0</v>
      </c>
      <c r="Q35" s="11"/>
      <c r="R35" s="208"/>
      <c r="S35" s="208"/>
    </row>
    <row r="36" spans="1:19" x14ac:dyDescent="0.2">
      <c r="A36" s="527">
        <v>1</v>
      </c>
      <c r="B36" s="525" t="s">
        <v>514</v>
      </c>
      <c r="C36" s="520" t="s">
        <v>767</v>
      </c>
      <c r="D36" s="520" t="s">
        <v>747</v>
      </c>
      <c r="E36" s="29"/>
      <c r="F36" s="307" t="s">
        <v>238</v>
      </c>
      <c r="G36" s="308" t="s">
        <v>254</v>
      </c>
      <c r="H36" s="309" t="s">
        <v>241</v>
      </c>
      <c r="I36" s="309"/>
      <c r="J36" s="311"/>
      <c r="K36" s="108" t="str">
        <f>VLOOKUP(L36,radky_R!A:O,15,0)</f>
        <v>Zápůjčky a úvěry - ovládaná nebo ovládající osoba</v>
      </c>
      <c r="L36" s="135">
        <v>29</v>
      </c>
      <c r="M36" s="136">
        <f>IF($D36="calc",ROUND($A36*SUMIFS(data!$Y:$Y,data!$C:$C,INDEX!$D$11,data!$X:$X,M$4,data!$N:$N,$B36,data!$S:$S,$L36),0)+R36,SUMIFS(M:M,$C:$C,$D36))</f>
        <v>0</v>
      </c>
      <c r="N36" s="136">
        <f>IF($D36="calc",ROUND($A36*SUMIFS(data!$Y:$Y,data!$C:$C,INDEX!$D$11,data!$X:$X,N$4,data!$N:$N,$B36,data!$S:$S,$L36),0),SUMIFS(N:N,$C:$C,$D36))</f>
        <v>0</v>
      </c>
      <c r="O36" s="136">
        <f t="shared" si="0"/>
        <v>0</v>
      </c>
      <c r="P36" s="137">
        <f>IF($D36="calc",ROUND($A36*SUMIFS(data!$Y:$Y,data!$C:$C,INDEX!$E$11,data!$N:$N,$B36,data!$S:$S,$L36),0)+S36,SUMIFS(P:P,$C:$C,$D36))</f>
        <v>0</v>
      </c>
      <c r="Q36" s="11"/>
      <c r="R36" s="208"/>
      <c r="S36" s="208"/>
    </row>
    <row r="37" spans="1:19" x14ac:dyDescent="0.2">
      <c r="A37" s="527">
        <v>1</v>
      </c>
      <c r="B37" s="525" t="s">
        <v>514</v>
      </c>
      <c r="C37" s="520" t="s">
        <v>767</v>
      </c>
      <c r="D37" s="520" t="s">
        <v>747</v>
      </c>
      <c r="E37" s="29"/>
      <c r="F37" s="307" t="s">
        <v>238</v>
      </c>
      <c r="G37" s="308" t="s">
        <v>254</v>
      </c>
      <c r="H37" s="309" t="s">
        <v>242</v>
      </c>
      <c r="I37" s="309"/>
      <c r="J37" s="311"/>
      <c r="K37" s="108" t="str">
        <f>VLOOKUP(L37,radky_R!A:O,15,0)</f>
        <v>Podíly - podstatný vliv</v>
      </c>
      <c r="L37" s="135">
        <v>30</v>
      </c>
      <c r="M37" s="136">
        <f>IF($D37="calc",ROUND($A37*SUMIFS(data!$Y:$Y,data!$C:$C,INDEX!$D$11,data!$X:$X,M$4,data!$N:$N,$B37,data!$S:$S,$L37),0)+R37,SUMIFS(M:M,$C:$C,$D37))</f>
        <v>0</v>
      </c>
      <c r="N37" s="136">
        <f>IF($D37="calc",ROUND($A37*SUMIFS(data!$Y:$Y,data!$C:$C,INDEX!$D$11,data!$X:$X,N$4,data!$N:$N,$B37,data!$S:$S,$L37),0),SUMIFS(N:N,$C:$C,$D37))</f>
        <v>0</v>
      </c>
      <c r="O37" s="136">
        <f t="shared" si="0"/>
        <v>0</v>
      </c>
      <c r="P37" s="137">
        <f>IF($D37="calc",ROUND($A37*SUMIFS(data!$Y:$Y,data!$C:$C,INDEX!$E$11,data!$N:$N,$B37,data!$S:$S,$L37),0)+S37,SUMIFS(P:P,$C:$C,$D37))</f>
        <v>0</v>
      </c>
      <c r="Q37" s="11"/>
      <c r="R37" s="208"/>
      <c r="S37" s="208"/>
    </row>
    <row r="38" spans="1:19" x14ac:dyDescent="0.2">
      <c r="A38" s="527">
        <v>1</v>
      </c>
      <c r="B38" s="525" t="s">
        <v>514</v>
      </c>
      <c r="C38" s="520" t="s">
        <v>767</v>
      </c>
      <c r="D38" s="520" t="s">
        <v>747</v>
      </c>
      <c r="E38" s="29"/>
      <c r="F38" s="307" t="s">
        <v>238</v>
      </c>
      <c r="G38" s="308" t="s">
        <v>254</v>
      </c>
      <c r="H38" s="309" t="s">
        <v>243</v>
      </c>
      <c r="I38" s="309"/>
      <c r="J38" s="311"/>
      <c r="K38" s="108" t="str">
        <f>VLOOKUP(L38,radky_R!A:O,15,0)</f>
        <v>Zápůjčky a úvěry - podstatný vliv</v>
      </c>
      <c r="L38" s="576">
        <v>31</v>
      </c>
      <c r="M38" s="136">
        <f>IF($D38="calc",ROUND($A38*SUMIFS(data!$Y:$Y,data!$C:$C,INDEX!$D$11,data!$X:$X,M$4,data!$N:$N,$B38,data!$S:$S,$L38),0)+R38,SUMIFS(M:M,$C:$C,$D38))</f>
        <v>0</v>
      </c>
      <c r="N38" s="136">
        <f>IF($D38="calc",ROUND($A38*SUMIFS(data!$Y:$Y,data!$C:$C,INDEX!$D$11,data!$X:$X,N$4,data!$N:$N,$B38,data!$S:$S,$L38),0),SUMIFS(N:N,$C:$C,$D38))</f>
        <v>0</v>
      </c>
      <c r="O38" s="136">
        <f t="shared" si="0"/>
        <v>0</v>
      </c>
      <c r="P38" s="137">
        <f>IF($D38="calc",ROUND($A38*SUMIFS(data!$Y:$Y,data!$C:$C,INDEX!$E$11,data!$N:$N,$B38,data!$S:$S,$L38),0)+S38,SUMIFS(P:P,$C:$C,$D38))</f>
        <v>0</v>
      </c>
      <c r="Q38" s="11"/>
      <c r="R38" s="208"/>
      <c r="S38" s="208"/>
    </row>
    <row r="39" spans="1:19" x14ac:dyDescent="0.2">
      <c r="A39" s="527">
        <v>1</v>
      </c>
      <c r="B39" s="525" t="s">
        <v>514</v>
      </c>
      <c r="C39" s="520" t="s">
        <v>767</v>
      </c>
      <c r="D39" s="520" t="s">
        <v>747</v>
      </c>
      <c r="E39" s="29"/>
      <c r="F39" s="307" t="s">
        <v>238</v>
      </c>
      <c r="G39" s="308" t="s">
        <v>254</v>
      </c>
      <c r="H39" s="309" t="s">
        <v>244</v>
      </c>
      <c r="I39" s="309"/>
      <c r="J39" s="311"/>
      <c r="K39" s="108" t="str">
        <f>VLOOKUP(L39,radky_R!A:O,15,0)</f>
        <v>Ostatní dlouhodobé cenné papíry a podíly</v>
      </c>
      <c r="L39" s="135">
        <v>32</v>
      </c>
      <c r="M39" s="136">
        <f>IF($D39="calc",ROUND($A39*SUMIFS(data!$Y:$Y,data!$C:$C,INDEX!$D$11,data!$X:$X,M$4,data!$N:$N,$B39,data!$S:$S,$L39),0)+R39,SUMIFS(M:M,$C:$C,$D39))</f>
        <v>0</v>
      </c>
      <c r="N39" s="136">
        <f>IF($D39="calc",ROUND($A39*SUMIFS(data!$Y:$Y,data!$C:$C,INDEX!$D$11,data!$X:$X,N$4,data!$N:$N,$B39,data!$S:$S,$L39),0),SUMIFS(N:N,$C:$C,$D39))</f>
        <v>0</v>
      </c>
      <c r="O39" s="136">
        <f t="shared" si="0"/>
        <v>0</v>
      </c>
      <c r="P39" s="137">
        <f>IF($D39="calc",ROUND($A39*SUMIFS(data!$Y:$Y,data!$C:$C,INDEX!$E$11,data!$N:$N,$B39,data!$S:$S,$L39),0)+S39,SUMIFS(P:P,$C:$C,$D39))</f>
        <v>0</v>
      </c>
      <c r="Q39" s="554" t="s">
        <v>616</v>
      </c>
      <c r="R39" s="208"/>
      <c r="S39" s="208"/>
    </row>
    <row r="40" spans="1:19" x14ac:dyDescent="0.2">
      <c r="A40" s="527">
        <v>1</v>
      </c>
      <c r="B40" s="525" t="s">
        <v>514</v>
      </c>
      <c r="C40" s="520" t="s">
        <v>767</v>
      </c>
      <c r="D40" s="520" t="s">
        <v>747</v>
      </c>
      <c r="E40" s="29"/>
      <c r="F40" s="307" t="s">
        <v>238</v>
      </c>
      <c r="G40" s="308" t="s">
        <v>254</v>
      </c>
      <c r="H40" s="309" t="s">
        <v>245</v>
      </c>
      <c r="I40" s="309"/>
      <c r="J40" s="311"/>
      <c r="K40" s="108" t="str">
        <f>VLOOKUP(L40,radky_R!A:O,15,0)</f>
        <v>Zápůjčky a úvěry - ostatní</v>
      </c>
      <c r="L40" s="135">
        <v>33</v>
      </c>
      <c r="M40" s="136">
        <f>IF($D40="calc",ROUND($A40*SUMIFS(data!$Y:$Y,data!$C:$C,INDEX!$D$11,data!$X:$X,M$4,data!$N:$N,$B40,data!$S:$S,$L40),0)+R40,SUMIFS(M:M,$C:$C,$D40))</f>
        <v>0</v>
      </c>
      <c r="N40" s="136">
        <f>IF($D40="calc",ROUND($A40*SUMIFS(data!$Y:$Y,data!$C:$C,INDEX!$D$11,data!$X:$X,N$4,data!$N:$N,$B40,data!$S:$S,$L40),0),SUMIFS(N:N,$C:$C,$D40))</f>
        <v>0</v>
      </c>
      <c r="O40" s="136">
        <f t="shared" si="0"/>
        <v>0</v>
      </c>
      <c r="P40" s="137">
        <f>IF($D40="calc",ROUND($A40*SUMIFS(data!$Y:$Y,data!$C:$C,INDEX!$E$11,data!$N:$N,$B40,data!$S:$S,$L40),0)+S40,SUMIFS(P:P,$C:$C,$D40))</f>
        <v>0</v>
      </c>
      <c r="Q40" s="554"/>
      <c r="R40" s="208"/>
      <c r="S40" s="208"/>
    </row>
    <row r="41" spans="1:19" s="27" customFormat="1" x14ac:dyDescent="0.2">
      <c r="A41" s="527">
        <v>1</v>
      </c>
      <c r="B41" s="525" t="s">
        <v>514</v>
      </c>
      <c r="C41" s="520" t="s">
        <v>767</v>
      </c>
      <c r="D41" s="520" t="s">
        <v>768</v>
      </c>
      <c r="E41" s="287"/>
      <c r="F41" s="310" t="s">
        <v>238</v>
      </c>
      <c r="G41" s="308" t="s">
        <v>254</v>
      </c>
      <c r="H41" s="309" t="s">
        <v>246</v>
      </c>
      <c r="I41" s="309"/>
      <c r="J41" s="311"/>
      <c r="K41" s="111" t="str">
        <f>VLOOKUP(L41,radky_R!A:O,15,0)</f>
        <v>Ostatní dlouhodobý finanční majetek</v>
      </c>
      <c r="L41" s="288">
        <v>34</v>
      </c>
      <c r="M41" s="289">
        <f>IF($D41="calc",ROUND($A41*SUMIFS(data!$Y:$Y,data!$C:$C,INDEX!$D$11,data!$X:$X,M$4,data!$N:$N,$B41,data!$S:$S,$L41),0)+R41,SUMIFS(M:M,$C:$C,$D41))</f>
        <v>0</v>
      </c>
      <c r="N41" s="289">
        <f>IF($D41="calc",ROUND($A41*SUMIFS(data!$Y:$Y,data!$C:$C,INDEX!$D$11,data!$X:$X,N$4,data!$N:$N,$B41,data!$S:$S,$L41),0),SUMIFS(N:N,$C:$C,$D41))</f>
        <v>0</v>
      </c>
      <c r="O41" s="289">
        <f t="shared" si="0"/>
        <v>0</v>
      </c>
      <c r="P41" s="290">
        <f>IF($D41="calc",ROUND($A41*SUMIFS(data!$Y:$Y,data!$C:$C,INDEX!$E$11,data!$N:$N,$B41,data!$S:$S,$L41),0)+S41,SUMIFS(P:P,$C:$C,$D41))</f>
        <v>0</v>
      </c>
      <c r="Q41" s="554"/>
      <c r="R41" s="213"/>
      <c r="S41" s="213"/>
    </row>
    <row r="42" spans="1:19" s="296" customFormat="1" x14ac:dyDescent="0.2">
      <c r="A42" s="527">
        <v>1</v>
      </c>
      <c r="B42" s="525" t="s">
        <v>514</v>
      </c>
      <c r="C42" s="520" t="s">
        <v>768</v>
      </c>
      <c r="D42" s="527" t="s">
        <v>747</v>
      </c>
      <c r="E42" s="291"/>
      <c r="F42" s="292"/>
      <c r="G42" s="293"/>
      <c r="H42" s="294"/>
      <c r="I42" s="294" t="s">
        <v>240</v>
      </c>
      <c r="J42" s="312"/>
      <c r="K42" s="301" t="str">
        <f>VLOOKUP(L42,radky_R!A:O,15,0)</f>
        <v>Jiný dlouhodobý finanční majetek</v>
      </c>
      <c r="L42" s="295">
        <v>35</v>
      </c>
      <c r="M42" s="303">
        <f>IF($D42="calc",ROUND($A42*SUMIFS(data!$Y:$Y,data!$C:$C,INDEX!$D$11,data!$X:$X,M$4,data!$N:$N,$B42,data!$S:$S,$L42),0)+R42,SUMIFS(M:M,$C:$C,$D42))</f>
        <v>0</v>
      </c>
      <c r="N42" s="303">
        <f>IF($D42="calc",ROUND($A42*SUMIFS(data!$Y:$Y,data!$C:$C,INDEX!$D$11,data!$X:$X,N$4,data!$N:$N,$B42,data!$S:$S,$L42),0),SUMIFS(N:N,$C:$C,$D42))</f>
        <v>0</v>
      </c>
      <c r="O42" s="303">
        <f t="shared" si="0"/>
        <v>0</v>
      </c>
      <c r="P42" s="304">
        <f>IF($D42="calc",ROUND($A42*SUMIFS(data!$Y:$Y,data!$C:$C,INDEX!$E$11,data!$N:$N,$B42,data!$S:$S,$L42),0)+S42,SUMIFS(P:P,$C:$C,$D42))</f>
        <v>0</v>
      </c>
      <c r="Q42" s="554"/>
      <c r="R42" s="297"/>
      <c r="S42" s="297"/>
    </row>
    <row r="43" spans="1:19" s="296" customFormat="1" ht="27" thickBot="1" x14ac:dyDescent="0.25">
      <c r="A43" s="527">
        <v>1</v>
      </c>
      <c r="B43" s="525" t="s">
        <v>514</v>
      </c>
      <c r="C43" s="520" t="s">
        <v>768</v>
      </c>
      <c r="D43" s="527" t="s">
        <v>747</v>
      </c>
      <c r="E43" s="291"/>
      <c r="F43" s="342"/>
      <c r="G43" s="343"/>
      <c r="H43" s="344"/>
      <c r="I43" s="344" t="s">
        <v>241</v>
      </c>
      <c r="J43" s="344"/>
      <c r="K43" s="345" t="str">
        <f>VLOOKUP(L43,radky_R!A:O,15,0)</f>
        <v>Poskytnuté zálohy na dlouhodobý finanční majetek</v>
      </c>
      <c r="L43" s="346">
        <v>36</v>
      </c>
      <c r="M43" s="347">
        <f>IF($D43="calc",ROUND($A43*SUMIFS(data!$Y:$Y,data!$C:$C,INDEX!$D$11,data!$X:$X,M$4,data!$N:$N,$B43,data!$S:$S,$L43),0)+R43,SUMIFS(M:M,$C:$C,$D43))</f>
        <v>0</v>
      </c>
      <c r="N43" s="347">
        <f>IF($D43="calc",ROUND($A43*SUMIFS(data!$Y:$Y,data!$C:$C,INDEX!$D$11,data!$X:$X,N$4,data!$N:$N,$B43,data!$S:$S,$L43),0),SUMIFS(N:N,$C:$C,$D43))</f>
        <v>0</v>
      </c>
      <c r="O43" s="347">
        <f t="shared" si="0"/>
        <v>0</v>
      </c>
      <c r="P43" s="348">
        <f>IF($D43="calc",ROUND($A43*SUMIFS(data!$Y:$Y,data!$C:$C,INDEX!$E$11,data!$N:$N,$B43,data!$S:$S,$L43),0)+S43,SUMIFS(P:P,$C:$C,$D43))</f>
        <v>0</v>
      </c>
      <c r="Q43" s="554"/>
      <c r="R43" s="299"/>
      <c r="S43" s="299"/>
    </row>
    <row r="44" spans="1:19" x14ac:dyDescent="0.2">
      <c r="A44" s="527">
        <v>1</v>
      </c>
      <c r="B44" s="525" t="s">
        <v>514</v>
      </c>
      <c r="C44" s="520" t="s">
        <v>754</v>
      </c>
      <c r="D44" s="520" t="s">
        <v>264</v>
      </c>
      <c r="E44" s="29"/>
      <c r="F44" s="141" t="s">
        <v>264</v>
      </c>
      <c r="G44" s="341"/>
      <c r="H44" s="284"/>
      <c r="I44" s="284"/>
      <c r="J44" s="284"/>
      <c r="K44" s="130" t="str">
        <f>VLOOKUP(L44,radky_R!A:O,15,0)</f>
        <v>Oběžná aktiva      (ř. 38 + 46 + 68 + 71)</v>
      </c>
      <c r="L44" s="144">
        <v>37</v>
      </c>
      <c r="M44" s="131">
        <f>IF($D44="calc",ROUND($A44*SUMIFS(data!$Y:$Y,data!$C:$C,INDEX!$D$11,data!$X:$X,M$4,data!$N:$N,$B44,data!$S:$S,$L44),0)+R44,SUMIFS(M:M,$C:$C,$D44))</f>
        <v>0</v>
      </c>
      <c r="N44" s="131">
        <f>IF($D44="calc",ROUND($A44*SUMIFS(data!$Y:$Y,data!$C:$C,INDEX!$D$11,data!$X:$X,N$4,data!$N:$N,$B44,data!$S:$S,$L44),0),SUMIFS(N:N,$C:$C,$D44))</f>
        <v>0</v>
      </c>
      <c r="O44" s="131">
        <f t="shared" si="0"/>
        <v>0</v>
      </c>
      <c r="P44" s="132">
        <f>IF($D44="calc",ROUND($A44*SUMIFS(data!$Y:$Y,data!$C:$C,INDEX!$E$11,data!$N:$N,$B44,data!$S:$S,$L44),0)+S44,SUMIFS(P:P,$C:$C,$D44))</f>
        <v>0</v>
      </c>
      <c r="Q44" s="11"/>
      <c r="R44" s="213"/>
      <c r="S44" s="213"/>
    </row>
    <row r="45" spans="1:19" x14ac:dyDescent="0.2">
      <c r="A45" s="527">
        <v>1</v>
      </c>
      <c r="B45" s="525" t="s">
        <v>514</v>
      </c>
      <c r="C45" s="520" t="s">
        <v>264</v>
      </c>
      <c r="D45" s="520" t="s">
        <v>769</v>
      </c>
      <c r="E45" s="29"/>
      <c r="F45" s="145" t="s">
        <v>264</v>
      </c>
      <c r="G45" s="146" t="s">
        <v>239</v>
      </c>
      <c r="H45" s="171"/>
      <c r="I45" s="171"/>
      <c r="J45" s="171"/>
      <c r="K45" s="106" t="str">
        <f>VLOOKUP(L45,radky_R!A:O,15,0)</f>
        <v>Zásoby      (ř. 39 + 40 + 41 + 44 + 45)</v>
      </c>
      <c r="L45" s="147">
        <v>38</v>
      </c>
      <c r="M45" s="133">
        <f>IF($D45="calc",ROUND($A45*SUMIFS(data!$Y:$Y,data!$C:$C,INDEX!$D$11,data!$X:$X,M$4,data!$N:$N,$B45,data!$S:$S,$L45),0)+R45,SUMIFS(M:M,$C:$C,$D45))</f>
        <v>0</v>
      </c>
      <c r="N45" s="133">
        <f>IF($D45="calc",ROUND($A45*SUMIFS(data!$Y:$Y,data!$C:$C,INDEX!$D$11,data!$X:$X,N$4,data!$N:$N,$B45,data!$S:$S,$L45),0),SUMIFS(N:N,$C:$C,$D45))</f>
        <v>0</v>
      </c>
      <c r="O45" s="133">
        <f t="shared" si="0"/>
        <v>0</v>
      </c>
      <c r="P45" s="134">
        <f>IF($D45="calc",ROUND($A45*SUMIFS(data!$Y:$Y,data!$C:$C,INDEX!$E$11,data!$N:$N,$B45,data!$S:$S,$L45),0)+S45,SUMIFS(P:P,$C:$C,$D45))</f>
        <v>0</v>
      </c>
      <c r="Q45" s="11"/>
      <c r="R45" s="213"/>
      <c r="S45" s="213"/>
    </row>
    <row r="46" spans="1:19" x14ac:dyDescent="0.2">
      <c r="A46" s="527">
        <v>1</v>
      </c>
      <c r="B46" s="525" t="s">
        <v>514</v>
      </c>
      <c r="C46" s="520" t="s">
        <v>769</v>
      </c>
      <c r="D46" s="520" t="s">
        <v>747</v>
      </c>
      <c r="E46" s="29"/>
      <c r="F46" s="307" t="s">
        <v>264</v>
      </c>
      <c r="G46" s="308" t="s">
        <v>239</v>
      </c>
      <c r="H46" s="309" t="s">
        <v>240</v>
      </c>
      <c r="I46" s="309"/>
      <c r="J46" s="311"/>
      <c r="K46" s="108" t="str">
        <f>VLOOKUP(L46,radky_R!A:O,15,0)</f>
        <v>Materiál</v>
      </c>
      <c r="L46" s="576">
        <v>39</v>
      </c>
      <c r="M46" s="136">
        <f>IF($D46="calc",ROUND($A46*SUMIFS(data!$Y:$Y,data!$C:$C,INDEX!$D$11,data!$X:$X,M$4,data!$N:$N,$B46,data!$S:$S,$L46),0)+R46,SUMIFS(M:M,$C:$C,$D46))</f>
        <v>0</v>
      </c>
      <c r="N46" s="136">
        <f>IF($D46="calc",ROUND($A46*SUMIFS(data!$Y:$Y,data!$C:$C,INDEX!$D$11,data!$X:$X,N$4,data!$N:$N,$B46,data!$S:$S,$L46),0),SUMIFS(N:N,$C:$C,$D46))</f>
        <v>0</v>
      </c>
      <c r="O46" s="136">
        <f t="shared" si="0"/>
        <v>0</v>
      </c>
      <c r="P46" s="137">
        <f>IF($D46="calc",ROUND($A46*SUMIFS(data!$Y:$Y,data!$C:$C,INDEX!$E$11,data!$N:$N,$B46,data!$S:$S,$L46),0)+S46,SUMIFS(P:P,$C:$C,$D46))</f>
        <v>0</v>
      </c>
      <c r="Q46" s="11"/>
      <c r="R46" s="208"/>
      <c r="S46" s="208"/>
    </row>
    <row r="47" spans="1:19" x14ac:dyDescent="0.2">
      <c r="A47" s="527">
        <v>1</v>
      </c>
      <c r="B47" s="525" t="s">
        <v>514</v>
      </c>
      <c r="C47" s="520" t="s">
        <v>769</v>
      </c>
      <c r="D47" s="520" t="s">
        <v>747</v>
      </c>
      <c r="E47" s="29"/>
      <c r="F47" s="307" t="s">
        <v>264</v>
      </c>
      <c r="G47" s="308" t="s">
        <v>239</v>
      </c>
      <c r="H47" s="309" t="s">
        <v>241</v>
      </c>
      <c r="I47" s="309"/>
      <c r="J47" s="311"/>
      <c r="K47" s="108" t="str">
        <f>VLOOKUP(L47,radky_R!A:O,15,0)</f>
        <v>Nedokončená výroba a polotovary</v>
      </c>
      <c r="L47" s="576">
        <v>40</v>
      </c>
      <c r="M47" s="136">
        <f>IF($D47="calc",ROUND($A47*SUMIFS(data!$Y:$Y,data!$C:$C,INDEX!$D$11,data!$X:$X,M$4,data!$N:$N,$B47,data!$S:$S,$L47),0)+R47,SUMIFS(M:M,$C:$C,$D47))</f>
        <v>0</v>
      </c>
      <c r="N47" s="136">
        <f>IF($D47="calc",ROUND($A47*SUMIFS(data!$Y:$Y,data!$C:$C,INDEX!$D$11,data!$X:$X,N$4,data!$N:$N,$B47,data!$S:$S,$L47),0),SUMIFS(N:N,$C:$C,$D47))</f>
        <v>0</v>
      </c>
      <c r="O47" s="136">
        <f t="shared" si="0"/>
        <v>0</v>
      </c>
      <c r="P47" s="137">
        <f>IF($D47="calc",ROUND($A47*SUMIFS(data!$Y:$Y,data!$C:$C,INDEX!$E$11,data!$N:$N,$B47,data!$S:$S,$L47),0)+S47,SUMIFS(P:P,$C:$C,$D47))</f>
        <v>0</v>
      </c>
      <c r="Q47" s="11"/>
      <c r="R47" s="208"/>
      <c r="S47" s="208"/>
    </row>
    <row r="48" spans="1:19" s="27" customFormat="1" x14ac:dyDescent="0.2">
      <c r="A48" s="527">
        <v>1</v>
      </c>
      <c r="B48" s="525" t="s">
        <v>514</v>
      </c>
      <c r="C48" s="520" t="s">
        <v>769</v>
      </c>
      <c r="D48" s="524" t="s">
        <v>770</v>
      </c>
      <c r="E48" s="287"/>
      <c r="F48" s="310" t="s">
        <v>264</v>
      </c>
      <c r="G48" s="308" t="s">
        <v>239</v>
      </c>
      <c r="H48" s="309" t="s">
        <v>242</v>
      </c>
      <c r="I48" s="309"/>
      <c r="J48" s="311"/>
      <c r="K48" s="111" t="str">
        <f>VLOOKUP(L48,radky_R!A:O,15,0)</f>
        <v>Výrobky a zboží</v>
      </c>
      <c r="L48" s="577">
        <v>41</v>
      </c>
      <c r="M48" s="289">
        <f>IF($D48="calc",ROUND($A48*SUMIFS(data!$Y:$Y,data!$C:$C,INDEX!$D$11,data!$X:$X,M$4,data!$N:$N,$B48,data!$S:$S,$L48),0)+R48,SUMIFS(M:M,$C:$C,$D48))</f>
        <v>0</v>
      </c>
      <c r="N48" s="289">
        <f>IF($D48="calc",ROUND($A48*SUMIFS(data!$Y:$Y,data!$C:$C,INDEX!$D$11,data!$X:$X,N$4,data!$N:$N,$B48,data!$S:$S,$L48),0),SUMIFS(N:N,$C:$C,$D48))</f>
        <v>0</v>
      </c>
      <c r="O48" s="289">
        <f t="shared" si="0"/>
        <v>0</v>
      </c>
      <c r="P48" s="290">
        <f>IF($D48="calc",ROUND($A48*SUMIFS(data!$Y:$Y,data!$C:$C,INDEX!$E$11,data!$N:$N,$B48,data!$S:$S,$L48),0)+S48,SUMIFS(P:P,$C:$C,$D48))</f>
        <v>0</v>
      </c>
      <c r="R48" s="213"/>
      <c r="S48" s="213"/>
    </row>
    <row r="49" spans="1:19" s="296" customFormat="1" x14ac:dyDescent="0.2">
      <c r="A49" s="527">
        <v>1</v>
      </c>
      <c r="B49" s="525" t="s">
        <v>514</v>
      </c>
      <c r="C49" s="524" t="s">
        <v>770</v>
      </c>
      <c r="D49" s="527" t="s">
        <v>747</v>
      </c>
      <c r="E49" s="291"/>
      <c r="F49" s="292"/>
      <c r="G49" s="293"/>
      <c r="H49" s="294"/>
      <c r="I49" s="294" t="s">
        <v>240</v>
      </c>
      <c r="J49" s="312"/>
      <c r="K49" s="301" t="str">
        <f>VLOOKUP(L49,radky_R!A:O,15,0)</f>
        <v>Výrobky</v>
      </c>
      <c r="L49" s="578">
        <v>42</v>
      </c>
      <c r="M49" s="303">
        <f>IF($D49="calc",ROUND($A49*SUMIFS(data!$Y:$Y,data!$C:$C,INDEX!$D$11,data!$X:$X,M$4,data!$N:$N,$B49,data!$S:$S,$L49),0)+R49,SUMIFS(M:M,$C:$C,$D49))</f>
        <v>0</v>
      </c>
      <c r="N49" s="303">
        <f>IF($D49="calc",ROUND($A49*SUMIFS(data!$Y:$Y,data!$C:$C,INDEX!$D$11,data!$X:$X,N$4,data!$N:$N,$B49,data!$S:$S,$L49),0),SUMIFS(N:N,$C:$C,$D49))</f>
        <v>0</v>
      </c>
      <c r="O49" s="303">
        <f t="shared" si="0"/>
        <v>0</v>
      </c>
      <c r="P49" s="304">
        <f>IF($D49="calc",ROUND($A49*SUMIFS(data!$Y:$Y,data!$C:$C,INDEX!$E$11,data!$N:$N,$B49,data!$S:$S,$L49),0)+S49,SUMIFS(P:P,$C:$C,$D49))</f>
        <v>0</v>
      </c>
      <c r="R49" s="297"/>
      <c r="S49" s="297"/>
    </row>
    <row r="50" spans="1:19" s="296" customFormat="1" x14ac:dyDescent="0.2">
      <c r="A50" s="527">
        <v>1</v>
      </c>
      <c r="B50" s="525" t="s">
        <v>514</v>
      </c>
      <c r="C50" s="524" t="s">
        <v>770</v>
      </c>
      <c r="D50" s="527" t="s">
        <v>747</v>
      </c>
      <c r="E50" s="291"/>
      <c r="F50" s="292"/>
      <c r="G50" s="293"/>
      <c r="H50" s="294"/>
      <c r="I50" s="294" t="s">
        <v>241</v>
      </c>
      <c r="J50" s="312"/>
      <c r="K50" s="302" t="str">
        <f>VLOOKUP(L50,radky_R!A:O,15,0)</f>
        <v>Zboží</v>
      </c>
      <c r="L50" s="579">
        <v>43</v>
      </c>
      <c r="M50" s="305">
        <f>IF($D50="calc",ROUND($A50*SUMIFS(data!$Y:$Y,data!$C:$C,INDEX!$D$11,data!$X:$X,M$4,data!$N:$N,$B50,data!$S:$S,$L50),0)+R50,SUMIFS(M:M,$C:$C,$D50))</f>
        <v>0</v>
      </c>
      <c r="N50" s="305">
        <f>IF($D50="calc",ROUND($A50*SUMIFS(data!$Y:$Y,data!$C:$C,INDEX!$D$11,data!$X:$X,N$4,data!$N:$N,$B50,data!$S:$S,$L50),0),SUMIFS(N:N,$C:$C,$D50))</f>
        <v>0</v>
      </c>
      <c r="O50" s="305">
        <f t="shared" si="0"/>
        <v>0</v>
      </c>
      <c r="P50" s="306">
        <f>IF($D50="calc",ROUND($A50*SUMIFS(data!$Y:$Y,data!$C:$C,INDEX!$E$11,data!$N:$N,$B50,data!$S:$S,$L50),0)+S50,SUMIFS(P:P,$C:$C,$D50))</f>
        <v>0</v>
      </c>
      <c r="R50" s="299"/>
      <c r="S50" s="299"/>
    </row>
    <row r="51" spans="1:19" x14ac:dyDescent="0.2">
      <c r="A51" s="527">
        <v>1</v>
      </c>
      <c r="B51" s="525" t="s">
        <v>514</v>
      </c>
      <c r="C51" s="520" t="s">
        <v>769</v>
      </c>
      <c r="D51" s="520" t="s">
        <v>747</v>
      </c>
      <c r="E51" s="29"/>
      <c r="F51" s="307" t="s">
        <v>264</v>
      </c>
      <c r="G51" s="308" t="s">
        <v>239</v>
      </c>
      <c r="H51" s="309" t="s">
        <v>243</v>
      </c>
      <c r="I51" s="309"/>
      <c r="J51" s="311"/>
      <c r="K51" s="108" t="str">
        <f>VLOOKUP(L51,radky_R!A:O,15,0)</f>
        <v>Mladá a ostatní zvířata a jejich skupiny</v>
      </c>
      <c r="L51" s="576">
        <v>44</v>
      </c>
      <c r="M51" s="136">
        <f>IF($D51="calc",ROUND($A51*SUMIFS(data!$Y:$Y,data!$C:$C,INDEX!$D$11,data!$X:$X,M$4,data!$N:$N,$B51,data!$S:$S,$L51),0)+R51,SUMIFS(M:M,$C:$C,$D51))</f>
        <v>0</v>
      </c>
      <c r="N51" s="136">
        <f>IF($D51="calc",ROUND($A51*SUMIFS(data!$Y:$Y,data!$C:$C,INDEX!$D$11,data!$X:$X,N$4,data!$N:$N,$B51,data!$S:$S,$L51),0),SUMIFS(N:N,$C:$C,$D51))</f>
        <v>0</v>
      </c>
      <c r="O51" s="136">
        <f t="shared" si="0"/>
        <v>0</v>
      </c>
      <c r="P51" s="137">
        <f>IF($D51="calc",ROUND($A51*SUMIFS(data!$Y:$Y,data!$C:$C,INDEX!$E$11,data!$N:$N,$B51,data!$S:$S,$L51),0)+S51,SUMIFS(P:P,$C:$C,$D51))</f>
        <v>0</v>
      </c>
      <c r="Q51" s="11"/>
      <c r="R51" s="208"/>
      <c r="S51" s="208"/>
    </row>
    <row r="52" spans="1:19" x14ac:dyDescent="0.2">
      <c r="A52" s="527">
        <v>1</v>
      </c>
      <c r="B52" s="525" t="s">
        <v>514</v>
      </c>
      <c r="C52" s="520" t="s">
        <v>769</v>
      </c>
      <c r="D52" s="520" t="s">
        <v>747</v>
      </c>
      <c r="E52" s="29"/>
      <c r="F52" s="356" t="s">
        <v>264</v>
      </c>
      <c r="G52" s="357" t="s">
        <v>239</v>
      </c>
      <c r="H52" s="358" t="s">
        <v>244</v>
      </c>
      <c r="I52" s="358"/>
      <c r="J52" s="359"/>
      <c r="K52" s="108" t="str">
        <f>VLOOKUP(L52,radky_R!A:O,15,0)</f>
        <v>Poskytnuté zálohy na zásoby</v>
      </c>
      <c r="L52" s="576">
        <v>45</v>
      </c>
      <c r="M52" s="136">
        <f>IF($D52="calc",ROUND($A52*SUMIFS(data!$Y:$Y,data!$C:$C,INDEX!$D$11,data!$X:$X,M$4,data!$N:$N,$B52,data!$S:$S,$L52),0)+R52,SUMIFS(M:M,$C:$C,$D52))</f>
        <v>0</v>
      </c>
      <c r="N52" s="136">
        <f>IF($D52="calc",ROUND($A52*SUMIFS(data!$Y:$Y,data!$C:$C,INDEX!$D$11,data!$X:$X,N$4,data!$N:$N,$B52,data!$S:$S,$L52),0),SUMIFS(N:N,$C:$C,$D52))</f>
        <v>0</v>
      </c>
      <c r="O52" s="136">
        <f t="shared" si="0"/>
        <v>0</v>
      </c>
      <c r="P52" s="137">
        <f>IF($D52="calc",ROUND($A52*SUMIFS(data!$Y:$Y,data!$C:$C,INDEX!$E$11,data!$N:$N,$B52,data!$S:$S,$L52),0)+S52,SUMIFS(P:P,$C:$C,$D52))</f>
        <v>0</v>
      </c>
      <c r="Q52" s="11"/>
      <c r="R52" s="208"/>
      <c r="S52" s="208"/>
    </row>
    <row r="53" spans="1:19" x14ac:dyDescent="0.2">
      <c r="A53" s="527">
        <v>1</v>
      </c>
      <c r="B53" s="525" t="s">
        <v>514</v>
      </c>
      <c r="C53" s="520" t="s">
        <v>264</v>
      </c>
      <c r="D53" s="520" t="s">
        <v>771</v>
      </c>
      <c r="E53" s="29"/>
      <c r="F53" s="281" t="s">
        <v>264</v>
      </c>
      <c r="G53" s="282" t="s">
        <v>249</v>
      </c>
      <c r="H53" s="283"/>
      <c r="I53" s="283"/>
      <c r="J53" s="283"/>
      <c r="K53" s="106" t="str">
        <f>VLOOKUP(L53,radky_R!A:O,15,0)</f>
        <v>Pohledávky      (ř. 47 + 57)</v>
      </c>
      <c r="L53" s="147">
        <v>46</v>
      </c>
      <c r="M53" s="133">
        <f>IF($D53="calc",ROUND($A53*SUMIFS(data!$Y:$Y,data!$C:$C,INDEX!$D$11,data!$X:$X,M$4,data!$N:$N,$B53,data!$S:$S,$L53),0)+R53,SUMIFS(M:M,$C:$C,$D53))</f>
        <v>0</v>
      </c>
      <c r="N53" s="133">
        <f>IF($D53="calc",ROUND($A53*SUMIFS(data!$Y:$Y,data!$C:$C,INDEX!$D$11,data!$X:$X,N$4,data!$N:$N,$B53,data!$S:$S,$L53),0),SUMIFS(N:N,$C:$C,$D53))</f>
        <v>0</v>
      </c>
      <c r="O53" s="133">
        <f t="shared" si="0"/>
        <v>0</v>
      </c>
      <c r="P53" s="134">
        <f>IF($D53="calc",ROUND($A53*SUMIFS(data!$Y:$Y,data!$C:$C,INDEX!$E$11,data!$N:$N,$B53,data!$S:$S,$L53),0)+S53,SUMIFS(P:P,$C:$C,$D53))</f>
        <v>0</v>
      </c>
      <c r="Q53" s="11"/>
      <c r="R53" s="213"/>
      <c r="S53" s="213"/>
    </row>
    <row r="54" spans="1:19" s="27" customFormat="1" x14ac:dyDescent="0.2">
      <c r="A54" s="527">
        <v>1</v>
      </c>
      <c r="B54" s="525" t="s">
        <v>514</v>
      </c>
      <c r="C54" s="524" t="s">
        <v>771</v>
      </c>
      <c r="D54" s="524" t="s">
        <v>772</v>
      </c>
      <c r="E54" s="287"/>
      <c r="F54" s="310" t="s">
        <v>264</v>
      </c>
      <c r="G54" s="308" t="s">
        <v>249</v>
      </c>
      <c r="H54" s="309" t="s">
        <v>240</v>
      </c>
      <c r="I54" s="309"/>
      <c r="J54" s="311"/>
      <c r="K54" s="111" t="str">
        <f>VLOOKUP(L54,radky_R!A:O,15,0)</f>
        <v>Dlouhodobé pohledávky</v>
      </c>
      <c r="L54" s="577">
        <v>47</v>
      </c>
      <c r="M54" s="289">
        <f>IF($D54="calc",ROUND($A54*SUMIFS(data!$Y:$Y,data!$C:$C,INDEX!$D$11,data!$X:$X,M$4,data!$N:$N,$B54,data!$S:$S,$L54),0)+R54,SUMIFS(M:M,$C:$C,$D54))</f>
        <v>0</v>
      </c>
      <c r="N54" s="289">
        <f>IF($D54="calc",ROUND($A54*SUMIFS(data!$Y:$Y,data!$C:$C,INDEX!$D$11,data!$X:$X,N$4,data!$N:$N,$B54,data!$S:$S,$L54),0),SUMIFS(N:N,$C:$C,$D54))</f>
        <v>0</v>
      </c>
      <c r="O54" s="289">
        <f t="shared" si="0"/>
        <v>0</v>
      </c>
      <c r="P54" s="290">
        <f>IF($D54="calc",ROUND($A54*SUMIFS(data!$Y:$Y,data!$C:$C,INDEX!$E$11,data!$N:$N,$B54,data!$S:$S,$L54),0)+S54,SUMIFS(P:P,$C:$C,$D54))</f>
        <v>0</v>
      </c>
      <c r="R54" s="213"/>
      <c r="S54" s="213"/>
    </row>
    <row r="55" spans="1:19" s="296" customFormat="1" x14ac:dyDescent="0.2">
      <c r="A55" s="527">
        <v>1</v>
      </c>
      <c r="B55" s="525" t="s">
        <v>514</v>
      </c>
      <c r="C55" s="524" t="s">
        <v>772</v>
      </c>
      <c r="D55" s="527" t="s">
        <v>747</v>
      </c>
      <c r="E55" s="291"/>
      <c r="F55" s="292"/>
      <c r="G55" s="293"/>
      <c r="H55" s="294"/>
      <c r="I55" s="294" t="s">
        <v>240</v>
      </c>
      <c r="J55" s="312"/>
      <c r="K55" s="301" t="str">
        <f>VLOOKUP(L55,radky_R!A:O,15,0)</f>
        <v>Pohledávky z obchodních vztahů</v>
      </c>
      <c r="L55" s="578">
        <v>48</v>
      </c>
      <c r="M55" s="303">
        <f>IF($D55="calc",ROUND($A55*SUMIFS(data!$Y:$Y,data!$C:$C,INDEX!$D$11,data!$X:$X,M$4,data!$N:$N,$B55,data!$S:$S,$L55),0)+R55,SUMIFS(M:M,$C:$C,$D55))</f>
        <v>0</v>
      </c>
      <c r="N55" s="303">
        <f>IF($D55="calc",ROUND($A55*SUMIFS(data!$Y:$Y,data!$C:$C,INDEX!$D$11,data!$X:$X,N$4,data!$N:$N,$B55,data!$S:$S,$L55),0),SUMIFS(N:N,$C:$C,$D55))</f>
        <v>0</v>
      </c>
      <c r="O55" s="303">
        <f t="shared" si="0"/>
        <v>0</v>
      </c>
      <c r="P55" s="304">
        <f>IF($D55="calc",ROUND($A55*SUMIFS(data!$Y:$Y,data!$C:$C,INDEX!$E$11,data!$N:$N,$B55,data!$S:$S,$L55),0)+S55,SUMIFS(P:P,$C:$C,$D55))</f>
        <v>0</v>
      </c>
      <c r="R55" s="297"/>
      <c r="S55" s="297"/>
    </row>
    <row r="56" spans="1:19" s="296" customFormat="1" x14ac:dyDescent="0.2">
      <c r="A56" s="527">
        <v>1</v>
      </c>
      <c r="B56" s="525" t="s">
        <v>514</v>
      </c>
      <c r="C56" s="524" t="s">
        <v>772</v>
      </c>
      <c r="D56" s="527" t="s">
        <v>747</v>
      </c>
      <c r="E56" s="291"/>
      <c r="F56" s="292"/>
      <c r="G56" s="293"/>
      <c r="H56" s="294"/>
      <c r="I56" s="294" t="s">
        <v>241</v>
      </c>
      <c r="J56" s="312"/>
      <c r="K56" s="301" t="str">
        <f>VLOOKUP(L56,radky_R!A:O,15,0)</f>
        <v>Pohledávky - ovládaná nebo ovládající osoba</v>
      </c>
      <c r="L56" s="578">
        <v>49</v>
      </c>
      <c r="M56" s="303">
        <f>IF($D56="calc",ROUND($A56*SUMIFS(data!$Y:$Y,data!$C:$C,INDEX!$D$11,data!$X:$X,M$4,data!$N:$N,$B56,data!$S:$S,$L56),0)+R56,SUMIFS(M:M,$C:$C,$D56))</f>
        <v>0</v>
      </c>
      <c r="N56" s="303">
        <f>IF($D56="calc",ROUND($A56*SUMIFS(data!$Y:$Y,data!$C:$C,INDEX!$D$11,data!$X:$X,N$4,data!$N:$N,$B56,data!$S:$S,$L56),0),SUMIFS(N:N,$C:$C,$D56))</f>
        <v>0</v>
      </c>
      <c r="O56" s="303">
        <f t="shared" si="0"/>
        <v>0</v>
      </c>
      <c r="P56" s="304">
        <f>IF($D56="calc",ROUND($A56*SUMIFS(data!$Y:$Y,data!$C:$C,INDEX!$E$11,data!$N:$N,$B56,data!$S:$S,$L56),0)+S56,SUMIFS(P:P,$C:$C,$D56))</f>
        <v>0</v>
      </c>
      <c r="R56" s="297"/>
      <c r="S56" s="297"/>
    </row>
    <row r="57" spans="1:19" s="296" customFormat="1" x14ac:dyDescent="0.2">
      <c r="A57" s="527">
        <v>1</v>
      </c>
      <c r="B57" s="525" t="s">
        <v>514</v>
      </c>
      <c r="C57" s="524" t="s">
        <v>772</v>
      </c>
      <c r="D57" s="527" t="s">
        <v>747</v>
      </c>
      <c r="E57" s="291"/>
      <c r="F57" s="292"/>
      <c r="G57" s="293"/>
      <c r="H57" s="294"/>
      <c r="I57" s="294">
        <v>3</v>
      </c>
      <c r="J57" s="312"/>
      <c r="K57" s="301" t="str">
        <f>VLOOKUP(L57,radky_R!A:O,15,0)</f>
        <v>Pohledávky - podstatný vliv</v>
      </c>
      <c r="L57" s="578">
        <v>50</v>
      </c>
      <c r="M57" s="303">
        <f>IF($D57="calc",ROUND($A57*SUMIFS(data!$Y:$Y,data!$C:$C,INDEX!$D$11,data!$X:$X,M$4,data!$N:$N,$B57,data!$S:$S,$L57),0)+R57,SUMIFS(M:M,$C:$C,$D57))</f>
        <v>0</v>
      </c>
      <c r="N57" s="303">
        <f>IF($D57="calc",ROUND($A57*SUMIFS(data!$Y:$Y,data!$C:$C,INDEX!$D$11,data!$X:$X,N$4,data!$N:$N,$B57,data!$S:$S,$L57),0),SUMIFS(N:N,$C:$C,$D57))</f>
        <v>0</v>
      </c>
      <c r="O57" s="303">
        <f t="shared" si="0"/>
        <v>0</v>
      </c>
      <c r="P57" s="304">
        <f>IF($D57="calc",ROUND($A57*SUMIFS(data!$Y:$Y,data!$C:$C,INDEX!$E$11,data!$N:$N,$B57,data!$S:$S,$L57),0)+S57,SUMIFS(P:P,$C:$C,$D57))</f>
        <v>0</v>
      </c>
      <c r="R57" s="297"/>
      <c r="S57" s="297"/>
    </row>
    <row r="58" spans="1:19" s="296" customFormat="1" x14ac:dyDescent="0.2">
      <c r="A58" s="527">
        <v>1</v>
      </c>
      <c r="B58" s="525" t="s">
        <v>514</v>
      </c>
      <c r="C58" s="524" t="s">
        <v>772</v>
      </c>
      <c r="D58" s="527" t="s">
        <v>747</v>
      </c>
      <c r="E58" s="291"/>
      <c r="F58" s="292"/>
      <c r="G58" s="293"/>
      <c r="H58" s="294"/>
      <c r="I58" s="294">
        <v>4</v>
      </c>
      <c r="J58" s="312"/>
      <c r="K58" s="301" t="str">
        <f>VLOOKUP(L58,radky_R!A:O,15,0)</f>
        <v>Odložená daňová pohledávka</v>
      </c>
      <c r="L58" s="578">
        <v>51</v>
      </c>
      <c r="M58" s="303">
        <f>IF($D58="calc",ROUND($A58*SUMIFS(data!$Y:$Y,data!$C:$C,INDEX!$D$11,data!$X:$X,M$4,data!$N:$N,$B58,data!$S:$S,$L58),0)+R58,SUMIFS(M:M,$C:$C,$D58))</f>
        <v>0</v>
      </c>
      <c r="N58" s="303">
        <f>IF($D58="calc",ROUND($A58*SUMIFS(data!$Y:$Y,data!$C:$C,INDEX!$D$11,data!$X:$X,N$4,data!$N:$N,$B58,data!$S:$S,$L58),0),SUMIFS(N:N,$C:$C,$D58))</f>
        <v>0</v>
      </c>
      <c r="O58" s="303">
        <f t="shared" si="0"/>
        <v>0</v>
      </c>
      <c r="P58" s="304">
        <f>IF($D58="calc",ROUND($A58*SUMIFS(data!$Y:$Y,data!$C:$C,INDEX!$E$11,data!$N:$N,$B58,data!$S:$S,$L58),0)+S58,SUMIFS(P:P,$C:$C,$D58))</f>
        <v>0</v>
      </c>
      <c r="R58" s="297"/>
      <c r="S58" s="297"/>
    </row>
    <row r="59" spans="1:19" s="296" customFormat="1" x14ac:dyDescent="0.2">
      <c r="A59" s="527">
        <v>1</v>
      </c>
      <c r="B59" s="525" t="s">
        <v>514</v>
      </c>
      <c r="C59" s="524" t="s">
        <v>772</v>
      </c>
      <c r="D59" s="527" t="s">
        <v>773</v>
      </c>
      <c r="E59" s="291"/>
      <c r="F59" s="292"/>
      <c r="G59" s="293"/>
      <c r="H59" s="294"/>
      <c r="I59" s="294">
        <v>5</v>
      </c>
      <c r="J59" s="312"/>
      <c r="K59" s="301" t="str">
        <f>VLOOKUP(L59,radky_R!A:O,15,0)</f>
        <v>Pohledávky - ostatní</v>
      </c>
      <c r="L59" s="578">
        <v>52</v>
      </c>
      <c r="M59" s="303">
        <f>IF($D59="calc",ROUND($A59*SUMIFS(data!$Y:$Y,data!$C:$C,INDEX!$D$11,data!$X:$X,M$4,data!$N:$N,$B59,data!$S:$S,$L59),0)+R59,SUMIFS(M:M,$C:$C,$D59))</f>
        <v>0</v>
      </c>
      <c r="N59" s="303">
        <f>IF($D59="calc",ROUND($A59*SUMIFS(data!$Y:$Y,data!$C:$C,INDEX!$D$11,data!$X:$X,N$4,data!$N:$N,$B59,data!$S:$S,$L59),0),SUMIFS(N:N,$C:$C,$D59))</f>
        <v>0</v>
      </c>
      <c r="O59" s="303">
        <f t="shared" si="0"/>
        <v>0</v>
      </c>
      <c r="P59" s="304">
        <f>IF($D59="calc",ROUND($A59*SUMIFS(data!$Y:$Y,data!$C:$C,INDEX!$E$11,data!$N:$N,$B59,data!$S:$S,$L59),0)+S59,SUMIFS(P:P,$C:$C,$D59))</f>
        <v>0</v>
      </c>
      <c r="R59" s="213"/>
      <c r="S59" s="213"/>
    </row>
    <row r="60" spans="1:19" s="320" customFormat="1" ht="21" x14ac:dyDescent="0.2">
      <c r="A60" s="527">
        <v>1</v>
      </c>
      <c r="B60" s="525" t="s">
        <v>514</v>
      </c>
      <c r="C60" s="527" t="s">
        <v>773</v>
      </c>
      <c r="D60" s="527" t="s">
        <v>747</v>
      </c>
      <c r="E60" s="313"/>
      <c r="F60" s="314"/>
      <c r="G60" s="315"/>
      <c r="H60" s="316"/>
      <c r="I60" s="316"/>
      <c r="J60" s="354" t="s">
        <v>240</v>
      </c>
      <c r="K60" s="317" t="str">
        <f>VLOOKUP(L60,radky_R!A:O,15,0)</f>
        <v>Pohledávky za společníky</v>
      </c>
      <c r="L60" s="582">
        <v>53</v>
      </c>
      <c r="M60" s="318">
        <f>IF($D60="calc",ROUND($A60*SUMIFS(data!$Y:$Y,data!$C:$C,INDEX!$D$11,data!$X:$X,M$4,data!$N:$N,$B60,data!$S:$S,$L60),0)+R60,SUMIFS(M:M,$C:$C,$D60))</f>
        <v>0</v>
      </c>
      <c r="N60" s="318">
        <f>IF($D60="calc",ROUND($A60*SUMIFS(data!$Y:$Y,data!$C:$C,INDEX!$D$11,data!$X:$X,N$4,data!$N:$N,$B60,data!$S:$S,$L60),0),SUMIFS(N:N,$C:$C,$D60))</f>
        <v>0</v>
      </c>
      <c r="O60" s="318">
        <f t="shared" si="0"/>
        <v>0</v>
      </c>
      <c r="P60" s="319">
        <f>IF($D60="calc",ROUND($A60*SUMIFS(data!$Y:$Y,data!$C:$C,INDEX!$E$11,data!$N:$N,$B60,data!$S:$S,$L60),0)+S60,SUMIFS(P:P,$C:$C,$D60))</f>
        <v>0</v>
      </c>
      <c r="R60" s="297"/>
      <c r="S60" s="297"/>
    </row>
    <row r="61" spans="1:19" s="320" customFormat="1" ht="21" x14ac:dyDescent="0.2">
      <c r="A61" s="527">
        <v>1</v>
      </c>
      <c r="B61" s="525" t="s">
        <v>514</v>
      </c>
      <c r="C61" s="527" t="s">
        <v>773</v>
      </c>
      <c r="D61" s="527" t="s">
        <v>747</v>
      </c>
      <c r="E61" s="313"/>
      <c r="F61" s="314"/>
      <c r="G61" s="315"/>
      <c r="H61" s="316"/>
      <c r="I61" s="316"/>
      <c r="J61" s="354" t="s">
        <v>241</v>
      </c>
      <c r="K61" s="317" t="str">
        <f>VLOOKUP(L61,radky_R!A:O,15,0)</f>
        <v>Dlouhodobé poskytnuté zálohy</v>
      </c>
      <c r="L61" s="582">
        <v>54</v>
      </c>
      <c r="M61" s="318">
        <f>IF($D61="calc",ROUND($A61*SUMIFS(data!$Y:$Y,data!$C:$C,INDEX!$D$11,data!$X:$X,M$4,data!$N:$N,$B61,data!$S:$S,$L61),0)+R61,SUMIFS(M:M,$C:$C,$D61))</f>
        <v>0</v>
      </c>
      <c r="N61" s="318">
        <f>IF($D61="calc",ROUND($A61*SUMIFS(data!$Y:$Y,data!$C:$C,INDEX!$D$11,data!$X:$X,N$4,data!$N:$N,$B61,data!$S:$S,$L61),0),SUMIFS(N:N,$C:$C,$D61))</f>
        <v>0</v>
      </c>
      <c r="O61" s="318">
        <f t="shared" si="0"/>
        <v>0</v>
      </c>
      <c r="P61" s="319">
        <f>IF($D61="calc",ROUND($A61*SUMIFS(data!$Y:$Y,data!$C:$C,INDEX!$E$11,data!$N:$N,$B61,data!$S:$S,$L61),0)+S61,SUMIFS(P:P,$C:$C,$D61))</f>
        <v>0</v>
      </c>
      <c r="R61" s="297"/>
      <c r="S61" s="297"/>
    </row>
    <row r="62" spans="1:19" s="320" customFormat="1" ht="21" x14ac:dyDescent="0.2">
      <c r="A62" s="527">
        <v>1</v>
      </c>
      <c r="B62" s="525" t="s">
        <v>514</v>
      </c>
      <c r="C62" s="527" t="s">
        <v>773</v>
      </c>
      <c r="D62" s="527" t="s">
        <v>747</v>
      </c>
      <c r="E62" s="313"/>
      <c r="F62" s="321"/>
      <c r="G62" s="315"/>
      <c r="H62" s="316"/>
      <c r="I62" s="316"/>
      <c r="J62" s="354" t="s">
        <v>242</v>
      </c>
      <c r="K62" s="317" t="str">
        <f>VLOOKUP(L62,radky_R!A:O,15,0)</f>
        <v>Dohadné účty aktivní</v>
      </c>
      <c r="L62" s="582">
        <v>55</v>
      </c>
      <c r="M62" s="318">
        <f>IF($D62="calc",ROUND($A62*SUMIFS(data!$Y:$Y,data!$C:$C,INDEX!$D$11,data!$X:$X,M$4,data!$N:$N,$B62,data!$S:$S,$L62),0)+R62,SUMIFS(M:M,$C:$C,$D62))</f>
        <v>0</v>
      </c>
      <c r="N62" s="318">
        <f>IF($D62="calc",ROUND($A62*SUMIFS(data!$Y:$Y,data!$C:$C,INDEX!$D$11,data!$X:$X,N$4,data!$N:$N,$B62,data!$S:$S,$L62),0),SUMIFS(N:N,$C:$C,$D62))</f>
        <v>0</v>
      </c>
      <c r="O62" s="318">
        <f t="shared" si="0"/>
        <v>0</v>
      </c>
      <c r="P62" s="319">
        <f>IF($D62="calc",ROUND($A62*SUMIFS(data!$Y:$Y,data!$C:$C,INDEX!$E$11,data!$N:$N,$B62,data!$S:$S,$L62),0)+S62,SUMIFS(P:P,$C:$C,$D62))</f>
        <v>0</v>
      </c>
      <c r="R62" s="297"/>
      <c r="S62" s="297"/>
    </row>
    <row r="63" spans="1:19" s="320" customFormat="1" ht="21" x14ac:dyDescent="0.2">
      <c r="A63" s="527">
        <v>1</v>
      </c>
      <c r="B63" s="525" t="s">
        <v>514</v>
      </c>
      <c r="C63" s="527" t="s">
        <v>773</v>
      </c>
      <c r="D63" s="527" t="s">
        <v>747</v>
      </c>
      <c r="E63" s="313"/>
      <c r="F63" s="321"/>
      <c r="G63" s="315"/>
      <c r="H63" s="316"/>
      <c r="I63" s="316"/>
      <c r="J63" s="354" t="s">
        <v>243</v>
      </c>
      <c r="K63" s="322" t="str">
        <f>VLOOKUP(L63,radky_R!A:O,15,0)</f>
        <v>Jiné pohledávky</v>
      </c>
      <c r="L63" s="583">
        <v>56</v>
      </c>
      <c r="M63" s="323">
        <f>IF($D63="calc",ROUND($A63*SUMIFS(data!$Y:$Y,data!$C:$C,INDEX!$D$11,data!$X:$X,M$4,data!$N:$N,$B63,data!$S:$S,$L63),0)+R63,SUMIFS(M:M,$C:$C,$D63))</f>
        <v>0</v>
      </c>
      <c r="N63" s="323">
        <f>IF($D63="calc",ROUND($A63*SUMIFS(data!$Y:$Y,data!$C:$C,INDEX!$D$11,data!$X:$X,N$4,data!$N:$N,$B63,data!$S:$S,$L63),0),SUMIFS(N:N,$C:$C,$D63))</f>
        <v>0</v>
      </c>
      <c r="O63" s="323">
        <f t="shared" si="0"/>
        <v>0</v>
      </c>
      <c r="P63" s="324">
        <f>IF($D63="calc",ROUND($A63*SUMIFS(data!$Y:$Y,data!$C:$C,INDEX!$E$11,data!$N:$N,$B63,data!$S:$S,$L63),0)+S63,SUMIFS(P:P,$C:$C,$D63))</f>
        <v>0</v>
      </c>
      <c r="R63" s="299"/>
      <c r="S63" s="299"/>
    </row>
    <row r="64" spans="1:19" s="27" customFormat="1" x14ac:dyDescent="0.2">
      <c r="A64" s="527">
        <v>1</v>
      </c>
      <c r="B64" s="525" t="s">
        <v>514</v>
      </c>
      <c r="C64" s="524" t="s">
        <v>771</v>
      </c>
      <c r="D64" s="524" t="s">
        <v>783</v>
      </c>
      <c r="E64" s="287"/>
      <c r="F64" s="310" t="s">
        <v>264</v>
      </c>
      <c r="G64" s="308" t="s">
        <v>249</v>
      </c>
      <c r="H64" s="309" t="s">
        <v>241</v>
      </c>
      <c r="I64" s="309"/>
      <c r="J64" s="311"/>
      <c r="K64" s="111" t="str">
        <f>VLOOKUP(L64,radky_R!A:O,15,0)</f>
        <v>Krátkodobé pohledávky</v>
      </c>
      <c r="L64" s="577">
        <v>57</v>
      </c>
      <c r="M64" s="289">
        <f>IF($D64="calc",ROUND($A64*SUMIFS(data!$Y:$Y,data!$C:$C,INDEX!$D$11,data!$X:$X,M$4,data!$N:$N,$B64,data!$S:$S,$L64),0)+R64,SUMIFS(M:M,$C:$C,$D64))</f>
        <v>0</v>
      </c>
      <c r="N64" s="289">
        <f>IF($D64="calc",ROUND($A64*SUMIFS(data!$Y:$Y,data!$C:$C,INDEX!$D$11,data!$X:$X,N$4,data!$N:$N,$B64,data!$S:$S,$L64),0),SUMIFS(N:N,$C:$C,$D64))</f>
        <v>0</v>
      </c>
      <c r="O64" s="289">
        <f t="shared" si="0"/>
        <v>0</v>
      </c>
      <c r="P64" s="290">
        <f>IF($D64="calc",ROUND($A64*SUMIFS(data!$Y:$Y,data!$C:$C,INDEX!$E$11,data!$N:$N,$B64,data!$S:$S,$L64),0)+S64,SUMIFS(P:P,$C:$C,$D64))</f>
        <v>0</v>
      </c>
      <c r="R64" s="213"/>
      <c r="S64" s="213"/>
    </row>
    <row r="65" spans="1:19" s="296" customFormat="1" x14ac:dyDescent="0.2">
      <c r="A65" s="527">
        <v>1</v>
      </c>
      <c r="B65" s="525" t="s">
        <v>514</v>
      </c>
      <c r="C65" s="524" t="s">
        <v>783</v>
      </c>
      <c r="D65" s="527" t="s">
        <v>747</v>
      </c>
      <c r="E65" s="291"/>
      <c r="F65" s="497"/>
      <c r="G65" s="498"/>
      <c r="H65" s="500"/>
      <c r="I65" s="294" t="s">
        <v>240</v>
      </c>
      <c r="J65" s="312"/>
      <c r="K65" s="301" t="str">
        <f>VLOOKUP(L65,radky_R!A:O,15,0)</f>
        <v>Pohledávky z obchodních vztahů</v>
      </c>
      <c r="L65" s="578">
        <v>58</v>
      </c>
      <c r="M65" s="303">
        <f>IF($D65="calc",ROUND($A65*SUMIFS(data!$Y:$Y,data!$C:$C,INDEX!$D$11,data!$X:$X,M$4,data!$N:$N,$B65,data!$S:$S,$L65),0)+R65,SUMIFS(M:M,$C:$C,$D65))</f>
        <v>0</v>
      </c>
      <c r="N65" s="303">
        <f>IF($D65="calc",ROUND($A65*SUMIFS(data!$Y:$Y,data!$C:$C,INDEX!$D$11,data!$X:$X,N$4,data!$N:$N,$B65,data!$S:$S,$L65),0),SUMIFS(N:N,$C:$C,$D65))</f>
        <v>0</v>
      </c>
      <c r="O65" s="303">
        <f t="shared" si="0"/>
        <v>0</v>
      </c>
      <c r="P65" s="304">
        <f>IF($D65="calc",ROUND($A65*SUMIFS(data!$Y:$Y,data!$C:$C,INDEX!$E$11,data!$N:$N,$B65,data!$S:$S,$L65),0)+S65,SUMIFS(P:P,$C:$C,$D65))</f>
        <v>0</v>
      </c>
      <c r="R65" s="297"/>
      <c r="S65" s="297"/>
    </row>
    <row r="66" spans="1:19" s="296" customFormat="1" x14ac:dyDescent="0.2">
      <c r="A66" s="527">
        <v>1</v>
      </c>
      <c r="B66" s="525" t="s">
        <v>514</v>
      </c>
      <c r="C66" s="524" t="s">
        <v>783</v>
      </c>
      <c r="D66" s="527" t="s">
        <v>747</v>
      </c>
      <c r="E66" s="291"/>
      <c r="F66" s="497"/>
      <c r="G66" s="498"/>
      <c r="H66" s="500"/>
      <c r="I66" s="294" t="s">
        <v>241</v>
      </c>
      <c r="J66" s="312"/>
      <c r="K66" s="301" t="str">
        <f>VLOOKUP(L66,radky_R!A:O,15,0)</f>
        <v>Pohledávky - ovládaná nebo ovládající osoba</v>
      </c>
      <c r="L66" s="578">
        <v>59</v>
      </c>
      <c r="M66" s="303">
        <f>IF($D66="calc",ROUND($A66*SUMIFS(data!$Y:$Y,data!$C:$C,INDEX!$D$11,data!$X:$X,M$4,data!$N:$N,$B66,data!$S:$S,$L66),0)+R66,SUMIFS(M:M,$C:$C,$D66))</f>
        <v>0</v>
      </c>
      <c r="N66" s="303">
        <f>IF($D66="calc",ROUND($A66*SUMIFS(data!$Y:$Y,data!$C:$C,INDEX!$D$11,data!$X:$X,N$4,data!$N:$N,$B66,data!$S:$S,$L66),0),SUMIFS(N:N,$C:$C,$D66))</f>
        <v>0</v>
      </c>
      <c r="O66" s="303">
        <f t="shared" si="0"/>
        <v>0</v>
      </c>
      <c r="P66" s="304">
        <f>IF($D66="calc",ROUND($A66*SUMIFS(data!$Y:$Y,data!$C:$C,INDEX!$E$11,data!$N:$N,$B66,data!$S:$S,$L66),0)+S66,SUMIFS(P:P,$C:$C,$D66))</f>
        <v>0</v>
      </c>
      <c r="R66" s="297"/>
      <c r="S66" s="297"/>
    </row>
    <row r="67" spans="1:19" s="296" customFormat="1" x14ac:dyDescent="0.2">
      <c r="A67" s="527">
        <v>1</v>
      </c>
      <c r="B67" s="525" t="s">
        <v>514</v>
      </c>
      <c r="C67" s="524" t="s">
        <v>783</v>
      </c>
      <c r="D67" s="527" t="s">
        <v>747</v>
      </c>
      <c r="E67" s="291"/>
      <c r="F67" s="497"/>
      <c r="G67" s="498"/>
      <c r="H67" s="500"/>
      <c r="I67" s="294" t="s">
        <v>242</v>
      </c>
      <c r="J67" s="312"/>
      <c r="K67" s="301" t="str">
        <f>VLOOKUP(L67,radky_R!A:O,15,0)</f>
        <v>Pohledávky - podstatný vliv</v>
      </c>
      <c r="L67" s="578">
        <v>60</v>
      </c>
      <c r="M67" s="303">
        <f>IF($D67="calc",ROUND($A67*SUMIFS(data!$Y:$Y,data!$C:$C,INDEX!$D$11,data!$X:$X,M$4,data!$N:$N,$B67,data!$S:$S,$L67),0)+R67,SUMIFS(M:M,$C:$C,$D67))</f>
        <v>0</v>
      </c>
      <c r="N67" s="303">
        <f>IF($D67="calc",ROUND($A67*SUMIFS(data!$Y:$Y,data!$C:$C,INDEX!$D$11,data!$X:$X,N$4,data!$N:$N,$B67,data!$S:$S,$L67),0),SUMIFS(N:N,$C:$C,$D67))</f>
        <v>0</v>
      </c>
      <c r="O67" s="303">
        <f t="shared" si="0"/>
        <v>0</v>
      </c>
      <c r="P67" s="304">
        <f>IF($D67="calc",ROUND($A67*SUMIFS(data!$Y:$Y,data!$C:$C,INDEX!$E$11,data!$N:$N,$B67,data!$S:$S,$L67),0)+S67,SUMIFS(P:P,$C:$C,$D67))</f>
        <v>0</v>
      </c>
      <c r="R67" s="297"/>
      <c r="S67" s="297"/>
    </row>
    <row r="68" spans="1:19" s="296" customFormat="1" x14ac:dyDescent="0.2">
      <c r="A68" s="527">
        <v>1</v>
      </c>
      <c r="B68" s="525" t="s">
        <v>514</v>
      </c>
      <c r="C68" s="524" t="s">
        <v>783</v>
      </c>
      <c r="D68" s="527" t="s">
        <v>784</v>
      </c>
      <c r="E68" s="291"/>
      <c r="F68" s="497"/>
      <c r="G68" s="498"/>
      <c r="H68" s="500"/>
      <c r="I68" s="294" t="s">
        <v>243</v>
      </c>
      <c r="J68" s="312"/>
      <c r="K68" s="301" t="str">
        <f>VLOOKUP(L68,radky_R!A:O,15,0)</f>
        <v>Pohledávky - ostatní</v>
      </c>
      <c r="L68" s="578">
        <v>61</v>
      </c>
      <c r="M68" s="303">
        <f>IF($D68="calc",ROUND($A68*SUMIFS(data!$Y:$Y,data!$C:$C,INDEX!$D$11,data!$X:$X,M$4,data!$N:$N,$B68,data!$S:$S,$L68),0)+R68,SUMIFS(M:M,$C:$C,$D68))</f>
        <v>0</v>
      </c>
      <c r="N68" s="303">
        <f>IF($D68="calc",ROUND($A68*SUMIFS(data!$Y:$Y,data!$C:$C,INDEX!$D$11,data!$X:$X,N$4,data!$N:$N,$B68,data!$S:$S,$L68),0),SUMIFS(N:N,$C:$C,$D68))</f>
        <v>0</v>
      </c>
      <c r="O68" s="303">
        <f t="shared" si="0"/>
        <v>0</v>
      </c>
      <c r="P68" s="304">
        <f>IF($D68="calc",ROUND($A68*SUMIFS(data!$Y:$Y,data!$C:$C,INDEX!$E$11,data!$N:$N,$B68,data!$S:$S,$L68),0)+S68,SUMIFS(P:P,$C:$C,$D68))</f>
        <v>0</v>
      </c>
      <c r="R68" s="213"/>
      <c r="S68" s="213"/>
    </row>
    <row r="69" spans="1:19" s="320" customFormat="1" ht="21" x14ac:dyDescent="0.2">
      <c r="A69" s="527">
        <v>1</v>
      </c>
      <c r="B69" s="525" t="s">
        <v>514</v>
      </c>
      <c r="C69" s="527" t="s">
        <v>784</v>
      </c>
      <c r="D69" s="527" t="s">
        <v>747</v>
      </c>
      <c r="E69" s="313"/>
      <c r="F69" s="497"/>
      <c r="G69" s="499"/>
      <c r="H69" s="500"/>
      <c r="I69" s="316"/>
      <c r="J69" s="354" t="s">
        <v>240</v>
      </c>
      <c r="K69" s="317" t="str">
        <f>VLOOKUP(L69,radky_R!A:O,15,0)</f>
        <v>Pohledávky za společníky</v>
      </c>
      <c r="L69" s="582">
        <v>62</v>
      </c>
      <c r="M69" s="501">
        <f>IF($D69="calc",ROUND($A69*SUMIFS(data!$Y:$Y,data!$C:$C,INDEX!$D$11,data!$X:$X,M$4,data!$N:$N,$B69,data!$S:$S,$L69),0)+R69,SUMIFS(M:M,$C:$C,$D69))</f>
        <v>0</v>
      </c>
      <c r="N69" s="501">
        <f>IF($D69="calc",ROUND($A69*SUMIFS(data!$Y:$Y,data!$C:$C,INDEX!$D$11,data!$X:$X,N$4,data!$N:$N,$B69,data!$S:$S,$L69),0),SUMIFS(N:N,$C:$C,$D69))</f>
        <v>0</v>
      </c>
      <c r="O69" s="501">
        <f t="shared" si="0"/>
        <v>0</v>
      </c>
      <c r="P69" s="502">
        <f>IF($D69="calc",ROUND($A69*SUMIFS(data!$Y:$Y,data!$C:$C,INDEX!$E$11,data!$N:$N,$B69,data!$S:$S,$L69),0)+S69,SUMIFS(P:P,$C:$C,$D69))</f>
        <v>0</v>
      </c>
      <c r="R69" s="297"/>
      <c r="S69" s="297"/>
    </row>
    <row r="70" spans="1:19" s="320" customFormat="1" ht="21" x14ac:dyDescent="0.2">
      <c r="A70" s="527">
        <v>1</v>
      </c>
      <c r="B70" s="525" t="s">
        <v>514</v>
      </c>
      <c r="C70" s="527" t="s">
        <v>784</v>
      </c>
      <c r="D70" s="527" t="s">
        <v>747</v>
      </c>
      <c r="E70" s="313"/>
      <c r="F70" s="497"/>
      <c r="G70" s="499"/>
      <c r="H70" s="500"/>
      <c r="I70" s="316"/>
      <c r="J70" s="354" t="s">
        <v>241</v>
      </c>
      <c r="K70" s="317" t="str">
        <f>VLOOKUP(L70,radky_R!A:O,15,0)</f>
        <v>Sociální zabezpečení a zdravotní pojištění</v>
      </c>
      <c r="L70" s="582">
        <v>63</v>
      </c>
      <c r="M70" s="501">
        <f>IF($D70="calc",ROUND($A70*SUMIFS(data!$Y:$Y,data!$C:$C,INDEX!$D$11,data!$X:$X,M$4,data!$N:$N,$B70,data!$S:$S,$L70),0)+R70,SUMIFS(M:M,$C:$C,$D70))</f>
        <v>0</v>
      </c>
      <c r="N70" s="501">
        <f>IF($D70="calc",ROUND($A70*SUMIFS(data!$Y:$Y,data!$C:$C,INDEX!$D$11,data!$X:$X,N$4,data!$N:$N,$B70,data!$S:$S,$L70),0),SUMIFS(N:N,$C:$C,$D70))</f>
        <v>0</v>
      </c>
      <c r="O70" s="501">
        <f t="shared" si="0"/>
        <v>0</v>
      </c>
      <c r="P70" s="502">
        <f>IF($D70="calc",ROUND($A70*SUMIFS(data!$Y:$Y,data!$C:$C,INDEX!$E$11,data!$N:$N,$B70,data!$S:$S,$L70),0)+S70,SUMIFS(P:P,$C:$C,$D70))</f>
        <v>0</v>
      </c>
      <c r="R70" s="297"/>
      <c r="S70" s="297"/>
    </row>
    <row r="71" spans="1:19" s="320" customFormat="1" ht="21" x14ac:dyDescent="0.2">
      <c r="A71" s="527">
        <v>1</v>
      </c>
      <c r="B71" s="525" t="s">
        <v>514</v>
      </c>
      <c r="C71" s="527" t="s">
        <v>784</v>
      </c>
      <c r="D71" s="527" t="s">
        <v>747</v>
      </c>
      <c r="E71" s="313"/>
      <c r="F71" s="497"/>
      <c r="G71" s="499"/>
      <c r="H71" s="500"/>
      <c r="I71" s="316"/>
      <c r="J71" s="354" t="s">
        <v>242</v>
      </c>
      <c r="K71" s="317" t="str">
        <f>VLOOKUP(L71,radky_R!A:O,15,0)</f>
        <v>Stát - daňové pohledávky</v>
      </c>
      <c r="L71" s="582">
        <v>64</v>
      </c>
      <c r="M71" s="501">
        <f>IF($D71="calc",ROUND($A71*SUMIFS(data!$Y:$Y,data!$C:$C,INDEX!$D$11,data!$X:$X,M$4,data!$N:$N,$B71,data!$S:$S,$L71),0)+R71,SUMIFS(M:M,$C:$C,$D71))</f>
        <v>0</v>
      </c>
      <c r="N71" s="501">
        <f>IF($D71="calc",ROUND($A71*SUMIFS(data!$Y:$Y,data!$C:$C,INDEX!$D$11,data!$X:$X,N$4,data!$N:$N,$B71,data!$S:$S,$L71),0),SUMIFS(N:N,$C:$C,$D71))</f>
        <v>0</v>
      </c>
      <c r="O71" s="501">
        <f t="shared" si="0"/>
        <v>0</v>
      </c>
      <c r="P71" s="502">
        <f>IF($D71="calc",ROUND($A71*SUMIFS(data!$Y:$Y,data!$C:$C,INDEX!$E$11,data!$N:$N,$B71,data!$S:$S,$L71),0)+S71,SUMIFS(P:P,$C:$C,$D71))</f>
        <v>0</v>
      </c>
      <c r="R71" s="297"/>
      <c r="S71" s="297"/>
    </row>
    <row r="72" spans="1:19" s="320" customFormat="1" ht="21" x14ac:dyDescent="0.2">
      <c r="A72" s="527">
        <v>1</v>
      </c>
      <c r="B72" s="525" t="s">
        <v>514</v>
      </c>
      <c r="C72" s="527" t="s">
        <v>784</v>
      </c>
      <c r="D72" s="527" t="s">
        <v>747</v>
      </c>
      <c r="E72" s="313"/>
      <c r="F72" s="497"/>
      <c r="G72" s="499"/>
      <c r="H72" s="500"/>
      <c r="I72" s="316"/>
      <c r="J72" s="354" t="s">
        <v>243</v>
      </c>
      <c r="K72" s="317" t="str">
        <f>VLOOKUP(L72,radky_R!A:O,15,0)</f>
        <v>Krátkodobé poskytnuté zálohy</v>
      </c>
      <c r="L72" s="582">
        <v>65</v>
      </c>
      <c r="M72" s="501">
        <f>IF($D72="calc",ROUND($A72*SUMIFS(data!$Y:$Y,data!$C:$C,INDEX!$D$11,data!$X:$X,M$4,data!$N:$N,$B72,data!$S:$S,$L72),0)+R72,SUMIFS(M:M,$C:$C,$D72))</f>
        <v>0</v>
      </c>
      <c r="N72" s="501">
        <f>IF($D72="calc",ROUND($A72*SUMIFS(data!$Y:$Y,data!$C:$C,INDEX!$D$11,data!$X:$X,N$4,data!$N:$N,$B72,data!$S:$S,$L72),0),SUMIFS(N:N,$C:$C,$D72))</f>
        <v>0</v>
      </c>
      <c r="O72" s="501">
        <f t="shared" ref="O72:O84" si="1">M72+N72</f>
        <v>0</v>
      </c>
      <c r="P72" s="502">
        <f>IF($D72="calc",ROUND($A72*SUMIFS(data!$Y:$Y,data!$C:$C,INDEX!$E$11,data!$N:$N,$B72,data!$S:$S,$L72),0)+S72,SUMIFS(P:P,$C:$C,$D72))</f>
        <v>0</v>
      </c>
      <c r="R72" s="297"/>
      <c r="S72" s="297"/>
    </row>
    <row r="73" spans="1:19" s="320" customFormat="1" ht="21" x14ac:dyDescent="0.2">
      <c r="A73" s="527">
        <v>1</v>
      </c>
      <c r="B73" s="525" t="s">
        <v>514</v>
      </c>
      <c r="C73" s="527" t="s">
        <v>784</v>
      </c>
      <c r="D73" s="527" t="s">
        <v>747</v>
      </c>
      <c r="E73" s="313"/>
      <c r="F73" s="497"/>
      <c r="G73" s="499"/>
      <c r="H73" s="500"/>
      <c r="I73" s="316"/>
      <c r="J73" s="354" t="s">
        <v>244</v>
      </c>
      <c r="K73" s="317" t="str">
        <f>VLOOKUP(L73,radky_R!A:O,15,0)</f>
        <v>Dohadné účty aktivní</v>
      </c>
      <c r="L73" s="582">
        <v>66</v>
      </c>
      <c r="M73" s="501">
        <f>IF($D73="calc",ROUND($A73*SUMIFS(data!$Y:$Y,data!$C:$C,INDEX!$D$11,data!$X:$X,M$4,data!$N:$N,$B73,data!$S:$S,$L73),0)+R73,SUMIFS(M:M,$C:$C,$D73))</f>
        <v>0</v>
      </c>
      <c r="N73" s="501">
        <f>IF($D73="calc",ROUND($A73*SUMIFS(data!$Y:$Y,data!$C:$C,INDEX!$D$11,data!$X:$X,N$4,data!$N:$N,$B73,data!$S:$S,$L73),0),SUMIFS(N:N,$C:$C,$D73))</f>
        <v>0</v>
      </c>
      <c r="O73" s="501">
        <f t="shared" si="1"/>
        <v>0</v>
      </c>
      <c r="P73" s="502">
        <f>IF($D73="calc",ROUND($A73*SUMIFS(data!$Y:$Y,data!$C:$C,INDEX!$E$11,data!$N:$N,$B73,data!$S:$S,$L73),0)+S73,SUMIFS(P:P,$C:$C,$D73))</f>
        <v>0</v>
      </c>
      <c r="R73" s="297"/>
      <c r="S73" s="297"/>
    </row>
    <row r="74" spans="1:19" s="320" customFormat="1" ht="21" x14ac:dyDescent="0.2">
      <c r="A74" s="527">
        <v>1</v>
      </c>
      <c r="B74" s="525" t="s">
        <v>514</v>
      </c>
      <c r="C74" s="527" t="s">
        <v>784</v>
      </c>
      <c r="D74" s="527" t="s">
        <v>747</v>
      </c>
      <c r="E74" s="313"/>
      <c r="F74" s="497"/>
      <c r="G74" s="499"/>
      <c r="H74" s="500"/>
      <c r="I74" s="316"/>
      <c r="J74" s="316" t="s">
        <v>245</v>
      </c>
      <c r="K74" s="317" t="str">
        <f>VLOOKUP(L74,radky_R!A:O,15,0)</f>
        <v>Jiné pohledávky</v>
      </c>
      <c r="L74" s="582">
        <v>67</v>
      </c>
      <c r="M74" s="501">
        <f>IF($D74="calc",ROUND($A74*SUMIFS(data!$Y:$Y,data!$C:$C,INDEX!$D$11,data!$X:$X,M$4,data!$N:$N,$B74,data!$S:$S,$L74),0)+R74,SUMIFS(M:M,$C:$C,$D74))</f>
        <v>0</v>
      </c>
      <c r="N74" s="501">
        <f>IF($D74="calc",ROUND($A74*SUMIFS(data!$Y:$Y,data!$C:$C,INDEX!$D$11,data!$X:$X,N$4,data!$N:$N,$B74,data!$S:$S,$L74),0),SUMIFS(N:N,$C:$C,$D74))</f>
        <v>0</v>
      </c>
      <c r="O74" s="501">
        <f t="shared" si="1"/>
        <v>0</v>
      </c>
      <c r="P74" s="502">
        <f>IF($D74="calc",ROUND($A74*SUMIFS(data!$Y:$Y,data!$C:$C,INDEX!$E$11,data!$N:$N,$B74,data!$S:$S,$L74),0)+S74,SUMIFS(P:P,$C:$C,$D74))</f>
        <v>0</v>
      </c>
      <c r="R74" s="297"/>
      <c r="S74" s="297"/>
    </row>
    <row r="75" spans="1:19" x14ac:dyDescent="0.2">
      <c r="A75" s="527">
        <v>1</v>
      </c>
      <c r="B75" s="525" t="s">
        <v>514</v>
      </c>
      <c r="C75" s="520" t="s">
        <v>264</v>
      </c>
      <c r="D75" s="520" t="s">
        <v>785</v>
      </c>
      <c r="E75" s="29"/>
      <c r="F75" s="281" t="s">
        <v>264</v>
      </c>
      <c r="G75" s="282" t="s">
        <v>254</v>
      </c>
      <c r="H75" s="283"/>
      <c r="I75" s="283"/>
      <c r="J75" s="283"/>
      <c r="K75" s="106" t="str">
        <f>VLOOKUP(L75,radky_R!A:O,15,0)</f>
        <v>Krátkodobý finanční majetek      (ř. 69 až 70)</v>
      </c>
      <c r="L75" s="147">
        <v>68</v>
      </c>
      <c r="M75" s="133">
        <f>IF($D75="calc",ROUND($A75*SUMIFS(data!$Y:$Y,data!$C:$C,INDEX!$D$11,data!$X:$X,M$4,data!$N:$N,$B75,data!$S:$S,$L75),0)+R75,SUMIFS(M:M,$C:$C,$D75))</f>
        <v>0</v>
      </c>
      <c r="N75" s="133">
        <f>IF($D75="calc",ROUND($A75*SUMIFS(data!$Y:$Y,data!$C:$C,INDEX!$D$11,data!$X:$X,N$4,data!$N:$N,$B75,data!$S:$S,$L75),0),SUMIFS(N:N,$C:$C,$D75))</f>
        <v>0</v>
      </c>
      <c r="O75" s="133">
        <f t="shared" si="1"/>
        <v>0</v>
      </c>
      <c r="P75" s="134">
        <f>IF($D75="calc",ROUND($A75*SUMIFS(data!$Y:$Y,data!$C:$C,INDEX!$E$11,data!$N:$N,$B75,data!$S:$S,$L75),0)+S75,SUMIFS(P:P,$C:$C,$D75))</f>
        <v>0</v>
      </c>
      <c r="Q75" s="11"/>
      <c r="R75" s="213"/>
      <c r="S75" s="213"/>
    </row>
    <row r="76" spans="1:19" x14ac:dyDescent="0.2">
      <c r="A76" s="527">
        <v>1</v>
      </c>
      <c r="B76" s="525" t="s">
        <v>514</v>
      </c>
      <c r="C76" s="520" t="s">
        <v>785</v>
      </c>
      <c r="D76" s="520" t="s">
        <v>747</v>
      </c>
      <c r="E76" s="29"/>
      <c r="F76" s="307" t="s">
        <v>264</v>
      </c>
      <c r="G76" s="308" t="s">
        <v>254</v>
      </c>
      <c r="H76" s="309" t="s">
        <v>240</v>
      </c>
      <c r="I76" s="309"/>
      <c r="J76" s="311"/>
      <c r="K76" s="108" t="str">
        <f>VLOOKUP(L76,radky_R!A:O,15,0)</f>
        <v>Podíly - ovládaná nebo ovládající osoba</v>
      </c>
      <c r="L76" s="576">
        <v>69</v>
      </c>
      <c r="M76" s="136">
        <f>IF($D76="calc",ROUND($A76*SUMIFS(data!$Y:$Y,data!$C:$C,INDEX!$D$11,data!$X:$X,M$4,data!$N:$N,$B76,data!$S:$S,$L76),0)+R76,SUMIFS(M:M,$C:$C,$D76))</f>
        <v>0</v>
      </c>
      <c r="N76" s="136">
        <f>IF($D76="calc",ROUND($A76*SUMIFS(data!$Y:$Y,data!$C:$C,INDEX!$D$11,data!$X:$X,N$4,data!$N:$N,$B76,data!$S:$S,$L76),0),SUMIFS(N:N,$C:$C,$D76))</f>
        <v>0</v>
      </c>
      <c r="O76" s="136">
        <f t="shared" si="1"/>
        <v>0</v>
      </c>
      <c r="P76" s="137">
        <f>IF($D76="calc",ROUND($A76*SUMIFS(data!$Y:$Y,data!$C:$C,INDEX!$E$11,data!$N:$N,$B76,data!$S:$S,$L76),0)+S76,SUMIFS(P:P,$C:$C,$D76))</f>
        <v>0</v>
      </c>
      <c r="Q76" s="11"/>
      <c r="R76" s="208"/>
      <c r="S76" s="208"/>
    </row>
    <row r="77" spans="1:19" x14ac:dyDescent="0.2">
      <c r="A77" s="527">
        <v>1</v>
      </c>
      <c r="B77" s="525" t="s">
        <v>514</v>
      </c>
      <c r="C77" s="520" t="s">
        <v>785</v>
      </c>
      <c r="D77" s="520" t="s">
        <v>747</v>
      </c>
      <c r="E77" s="29"/>
      <c r="F77" s="356" t="s">
        <v>264</v>
      </c>
      <c r="G77" s="357" t="s">
        <v>254</v>
      </c>
      <c r="H77" s="358" t="s">
        <v>241</v>
      </c>
      <c r="I77" s="358"/>
      <c r="J77" s="359"/>
      <c r="K77" s="108" t="str">
        <f>VLOOKUP(L77,radky_R!A:O,15,0)</f>
        <v>Ostatní krátkodobý finanční majetek</v>
      </c>
      <c r="L77" s="576">
        <v>70</v>
      </c>
      <c r="M77" s="136">
        <f>IF($D77="calc",ROUND($A77*SUMIFS(data!$Y:$Y,data!$C:$C,INDEX!$D$11,data!$X:$X,M$4,data!$N:$N,$B77,data!$S:$S,$L77),0)+R77,SUMIFS(M:M,$C:$C,$D77))</f>
        <v>0</v>
      </c>
      <c r="N77" s="136">
        <f>IF($D77="calc",ROUND($A77*SUMIFS(data!$Y:$Y,data!$C:$C,INDEX!$D$11,data!$X:$X,N$4,data!$N:$N,$B77,data!$S:$S,$L77),0),SUMIFS(N:N,$C:$C,$D77))</f>
        <v>0</v>
      </c>
      <c r="O77" s="136">
        <f t="shared" si="1"/>
        <v>0</v>
      </c>
      <c r="P77" s="137">
        <f>IF($D77="calc",ROUND($A77*SUMIFS(data!$Y:$Y,data!$C:$C,INDEX!$E$11,data!$N:$N,$B77,data!$S:$S,$L77),0)+S77,SUMIFS(P:P,$C:$C,$D77))</f>
        <v>0</v>
      </c>
      <c r="Q77" s="11"/>
      <c r="R77" s="208"/>
      <c r="S77" s="208"/>
    </row>
    <row r="78" spans="1:19" x14ac:dyDescent="0.2">
      <c r="A78" s="527">
        <v>1</v>
      </c>
      <c r="B78" s="525" t="s">
        <v>514</v>
      </c>
      <c r="C78" s="520" t="s">
        <v>264</v>
      </c>
      <c r="D78" s="520" t="s">
        <v>786</v>
      </c>
      <c r="E78" s="29"/>
      <c r="F78" s="281" t="s">
        <v>264</v>
      </c>
      <c r="G78" s="282" t="s">
        <v>272</v>
      </c>
      <c r="H78" s="283"/>
      <c r="I78" s="283"/>
      <c r="J78" s="283"/>
      <c r="K78" s="106" t="str">
        <f>VLOOKUP(L78,radky_R!A:O,15,0)</f>
        <v>Peněžní prostředky      (ř. 72 až 73)</v>
      </c>
      <c r="L78" s="147">
        <v>71</v>
      </c>
      <c r="M78" s="133">
        <f>IF($D78="calc",ROUND($A78*SUMIFS(data!$Y:$Y,data!$C:$C,INDEX!$D$11,data!$X:$X,M$4,data!$N:$N,$B78,data!$S:$S,$L78),0)+R78,SUMIFS(M:M,$C:$C,$D78))</f>
        <v>0</v>
      </c>
      <c r="N78" s="133">
        <f>IF($D78="calc",ROUND($A78*SUMIFS(data!$Y:$Y,data!$C:$C,INDEX!$D$11,data!$X:$X,N$4,data!$N:$N,$B78,data!$S:$S,$L78),0),SUMIFS(N:N,$C:$C,$D78))</f>
        <v>0</v>
      </c>
      <c r="O78" s="133">
        <f t="shared" si="1"/>
        <v>0</v>
      </c>
      <c r="P78" s="134">
        <f>IF($D78="calc",ROUND($A78*SUMIFS(data!$Y:$Y,data!$C:$C,INDEX!$E$11,data!$N:$N,$B78,data!$S:$S,$L78),0)+S78,SUMIFS(P:P,$C:$C,$D78))</f>
        <v>0</v>
      </c>
      <c r="Q78" s="11"/>
      <c r="R78" s="213"/>
      <c r="S78" s="213"/>
    </row>
    <row r="79" spans="1:19" x14ac:dyDescent="0.2">
      <c r="A79" s="527">
        <v>1</v>
      </c>
      <c r="B79" s="525" t="s">
        <v>514</v>
      </c>
      <c r="C79" s="520" t="s">
        <v>786</v>
      </c>
      <c r="D79" s="520" t="s">
        <v>747</v>
      </c>
      <c r="E79" s="29"/>
      <c r="F79" s="307" t="s">
        <v>264</v>
      </c>
      <c r="G79" s="308" t="s">
        <v>272</v>
      </c>
      <c r="H79" s="309" t="s">
        <v>240</v>
      </c>
      <c r="I79" s="309"/>
      <c r="J79" s="311"/>
      <c r="K79" s="108" t="str">
        <f>VLOOKUP(L79,radky_R!A:O,15,0)</f>
        <v>Peněžní prostředky v pokladně</v>
      </c>
      <c r="L79" s="576">
        <v>72</v>
      </c>
      <c r="M79" s="136">
        <f>IF($D79="calc",ROUND($A79*SUMIFS(data!$Y:$Y,data!$C:$C,INDEX!$D$11,data!$X:$X,M$4,data!$N:$N,$B79,data!$S:$S,$L79),0)+R79,SUMIFS(M:M,$C:$C,$D79))</f>
        <v>0</v>
      </c>
      <c r="N79" s="136">
        <f>IF($D79="calc",ROUND($A79*SUMIFS(data!$Y:$Y,data!$C:$C,INDEX!$D$11,data!$X:$X,N$4,data!$N:$N,$B79,data!$S:$S,$L79),0),SUMIFS(N:N,$C:$C,$D79))</f>
        <v>0</v>
      </c>
      <c r="O79" s="136">
        <f t="shared" si="1"/>
        <v>0</v>
      </c>
      <c r="P79" s="137">
        <f>IF($D79="calc",ROUND($A79*SUMIFS(data!$Y:$Y,data!$C:$C,INDEX!$E$11,data!$N:$N,$B79,data!$S:$S,$L79),0)+S79,SUMIFS(P:P,$C:$C,$D79))</f>
        <v>0</v>
      </c>
      <c r="Q79" s="11"/>
      <c r="R79" s="208"/>
      <c r="S79" s="208"/>
    </row>
    <row r="80" spans="1:19" ht="27" thickBot="1" x14ac:dyDescent="0.25">
      <c r="A80" s="527">
        <v>1</v>
      </c>
      <c r="B80" s="525" t="s">
        <v>514</v>
      </c>
      <c r="C80" s="520" t="s">
        <v>786</v>
      </c>
      <c r="D80" s="520" t="s">
        <v>747</v>
      </c>
      <c r="E80" s="29"/>
      <c r="F80" s="325" t="s">
        <v>264</v>
      </c>
      <c r="G80" s="326" t="s">
        <v>272</v>
      </c>
      <c r="H80" s="327" t="s">
        <v>241</v>
      </c>
      <c r="I80" s="327"/>
      <c r="J80" s="360"/>
      <c r="K80" s="111" t="str">
        <f>VLOOKUP(L80,radky_R!A:O,15,0)</f>
        <v>Peněžní prostředky na účtech</v>
      </c>
      <c r="L80" s="577">
        <v>73</v>
      </c>
      <c r="M80" s="289">
        <f>IF($D80="calc",ROUND($A80*SUMIFS(data!$Y:$Y,data!$C:$C,INDEX!$D$11,data!$X:$X,M$4,data!$N:$N,$B80,data!$S:$S,$L80),0)+R80,SUMIFS(M:M,$C:$C,$D80))</f>
        <v>0</v>
      </c>
      <c r="N80" s="289">
        <f>IF($D80="calc",ROUND($A80*SUMIFS(data!$Y:$Y,data!$C:$C,INDEX!$D$11,data!$X:$X,N$4,data!$N:$N,$B80,data!$S:$S,$L80),0),SUMIFS(N:N,$C:$C,$D80))</f>
        <v>0</v>
      </c>
      <c r="O80" s="289">
        <f t="shared" si="1"/>
        <v>0</v>
      </c>
      <c r="P80" s="290">
        <f>IF($D80="calc",ROUND($A80*SUMIFS(data!$Y:$Y,data!$C:$C,INDEX!$E$11,data!$N:$N,$B80,data!$S:$S,$L80),0)+S80,SUMIFS(P:P,$C:$C,$D80))</f>
        <v>0</v>
      </c>
      <c r="Q80" s="554" t="s">
        <v>616</v>
      </c>
      <c r="R80" s="208"/>
      <c r="S80" s="208"/>
    </row>
    <row r="81" spans="1:19" x14ac:dyDescent="0.2">
      <c r="A81" s="527">
        <v>1</v>
      </c>
      <c r="B81" s="525" t="s">
        <v>514</v>
      </c>
      <c r="C81" s="520" t="s">
        <v>754</v>
      </c>
      <c r="D81" s="520" t="s">
        <v>273</v>
      </c>
      <c r="E81" s="29"/>
      <c r="F81" s="141" t="s">
        <v>273</v>
      </c>
      <c r="G81" s="341"/>
      <c r="H81" s="284"/>
      <c r="I81" s="284"/>
      <c r="J81" s="284"/>
      <c r="K81" s="130" t="str">
        <f>VLOOKUP(L81,radky_R!A:O,15,0)</f>
        <v>Časové rozlišení aktiv      (ř. 75 až 77)</v>
      </c>
      <c r="L81" s="144">
        <v>74</v>
      </c>
      <c r="M81" s="131">
        <f>IF($D81="calc",ROUND($A81*SUMIFS(data!$Y:$Y,data!$C:$C,INDEX!$D$11,data!$X:$X,M$4,data!$N:$N,$B81,data!$S:$S,$L81),0)+R81,SUMIFS(M:M,$C:$C,$D81))</f>
        <v>0</v>
      </c>
      <c r="N81" s="131">
        <f>IF($D81="calc",ROUND($A81*SUMIFS(data!$Y:$Y,data!$C:$C,INDEX!$D$11,data!$X:$X,N$4,data!$N:$N,$B81,data!$S:$S,$L81),0),SUMIFS(N:N,$C:$C,$D81))</f>
        <v>0</v>
      </c>
      <c r="O81" s="131">
        <f t="shared" si="1"/>
        <v>0</v>
      </c>
      <c r="P81" s="132">
        <f>IF($D81="calc",ROUND($A81*SUMIFS(data!$Y:$Y,data!$C:$C,INDEX!$E$11,data!$N:$N,$B81,data!$S:$S,$L81),0)+S81,SUMIFS(P:P,$C:$C,$D81))</f>
        <v>0</v>
      </c>
      <c r="Q81" s="554"/>
      <c r="R81" s="213"/>
      <c r="S81" s="213"/>
    </row>
    <row r="82" spans="1:19" x14ac:dyDescent="0.2">
      <c r="A82" s="527">
        <v>1</v>
      </c>
      <c r="B82" s="525" t="s">
        <v>514</v>
      </c>
      <c r="C82" s="520" t="s">
        <v>273</v>
      </c>
      <c r="D82" s="520" t="s">
        <v>747</v>
      </c>
      <c r="E82" s="29"/>
      <c r="F82" s="116" t="s">
        <v>273</v>
      </c>
      <c r="G82" s="114" t="s">
        <v>240</v>
      </c>
      <c r="H82" s="115"/>
      <c r="I82" s="115"/>
      <c r="J82" s="355"/>
      <c r="K82" s="108" t="str">
        <f>VLOOKUP(L82,radky_R!A:O,15,0)</f>
        <v xml:space="preserve">Náklady příštích období </v>
      </c>
      <c r="L82" s="576">
        <v>75</v>
      </c>
      <c r="M82" s="136">
        <f>IF($D82="calc",ROUND($A82*SUMIFS(data!$Y:$Y,data!$C:$C,INDEX!$D$11,data!$X:$X,M$4,data!$N:$N,$B82,data!$S:$S,$L82),0)+R82,SUMIFS(M:M,$C:$C,$D82))</f>
        <v>0</v>
      </c>
      <c r="N82" s="136">
        <f>IF($D82="calc",ROUND($A82*SUMIFS(data!$Y:$Y,data!$C:$C,INDEX!$D$11,data!$X:$X,N$4,data!$N:$N,$B82,data!$S:$S,$L82),0),SUMIFS(N:N,$C:$C,$D82))</f>
        <v>0</v>
      </c>
      <c r="O82" s="136">
        <f t="shared" si="1"/>
        <v>0</v>
      </c>
      <c r="P82" s="137">
        <f>IF($D82="calc",ROUND($A82*SUMIFS(data!$Y:$Y,data!$C:$C,INDEX!$E$11,data!$N:$N,$B82,data!$S:$S,$L82),0)+S82,SUMIFS(P:P,$C:$C,$D82))</f>
        <v>0</v>
      </c>
      <c r="Q82" s="554"/>
      <c r="R82" s="208"/>
      <c r="S82" s="208"/>
    </row>
    <row r="83" spans="1:19" x14ac:dyDescent="0.2">
      <c r="A83" s="527">
        <v>1</v>
      </c>
      <c r="B83" s="525" t="s">
        <v>514</v>
      </c>
      <c r="C83" s="520" t="s">
        <v>273</v>
      </c>
      <c r="D83" s="520" t="s">
        <v>747</v>
      </c>
      <c r="E83" s="29"/>
      <c r="F83" s="307" t="s">
        <v>273</v>
      </c>
      <c r="G83" s="308" t="s">
        <v>241</v>
      </c>
      <c r="H83" s="309"/>
      <c r="I83" s="309"/>
      <c r="J83" s="311"/>
      <c r="K83" s="108" t="str">
        <f>VLOOKUP(L83,radky_R!A:O,15,0)</f>
        <v>Komplexní náklady příštích období</v>
      </c>
      <c r="L83" s="576">
        <v>76</v>
      </c>
      <c r="M83" s="136">
        <f>IF($D83="calc",ROUND($A83*SUMIFS(data!$Y:$Y,data!$C:$C,INDEX!$D$11,data!$X:$X,M$4,data!$N:$N,$B83,data!$S:$S,$L83),0)+R83,SUMIFS(M:M,$C:$C,$D83))</f>
        <v>0</v>
      </c>
      <c r="N83" s="136">
        <f>IF($D83="calc",ROUND($A83*SUMIFS(data!$Y:$Y,data!$C:$C,INDEX!$D$11,data!$X:$X,N$4,data!$N:$N,$B83,data!$S:$S,$L83),0),SUMIFS(N:N,$C:$C,$D83))</f>
        <v>0</v>
      </c>
      <c r="O83" s="136">
        <f t="shared" si="1"/>
        <v>0</v>
      </c>
      <c r="P83" s="137">
        <f>IF($D83="calc",ROUND($A83*SUMIFS(data!$Y:$Y,data!$C:$C,INDEX!$E$11,data!$N:$N,$B83,data!$S:$S,$L83),0)+S83,SUMIFS(P:P,$C:$C,$D83))</f>
        <v>0</v>
      </c>
      <c r="Q83" s="554"/>
      <c r="R83" s="208"/>
      <c r="S83" s="208"/>
    </row>
    <row r="84" spans="1:19" ht="27" thickBot="1" x14ac:dyDescent="0.25">
      <c r="A84" s="527">
        <v>1</v>
      </c>
      <c r="B84" s="525" t="s">
        <v>514</v>
      </c>
      <c r="C84" s="520" t="s">
        <v>273</v>
      </c>
      <c r="D84" s="520" t="s">
        <v>747</v>
      </c>
      <c r="E84" s="29"/>
      <c r="F84" s="325" t="s">
        <v>273</v>
      </c>
      <c r="G84" s="326" t="s">
        <v>242</v>
      </c>
      <c r="H84" s="327"/>
      <c r="I84" s="327"/>
      <c r="J84" s="360"/>
      <c r="K84" s="138" t="str">
        <f>VLOOKUP(L84,radky_R!A:O,15,0)</f>
        <v>Příjmy příštích období</v>
      </c>
      <c r="L84" s="580">
        <v>77</v>
      </c>
      <c r="M84" s="139">
        <f>IF($D84="calc",ROUND($A84*SUMIFS(data!$Y:$Y,data!$C:$C,INDEX!$D$11,data!$X:$X,M$4,data!$N:$N,$B84,data!$S:$S,$L84),0)+R84,SUMIFS(M:M,$C:$C,$D84))</f>
        <v>0</v>
      </c>
      <c r="N84" s="139">
        <f>IF($D84="calc",ROUND($A84*SUMIFS(data!$Y:$Y,data!$C:$C,INDEX!$D$11,data!$X:$X,N$4,data!$N:$N,$B84,data!$S:$S,$L84),0),SUMIFS(N:N,$C:$C,$D84))</f>
        <v>0</v>
      </c>
      <c r="O84" s="139">
        <f t="shared" si="1"/>
        <v>0</v>
      </c>
      <c r="P84" s="140">
        <f>IF($D84="calc",ROUND($A84*SUMIFS(data!$Y:$Y,data!$C:$C,INDEX!$E$11,data!$N:$N,$B84,data!$S:$S,$L84),0)+S84,SUMIFS(P:P,$C:$C,$D84))</f>
        <v>0</v>
      </c>
      <c r="Q84" s="554"/>
      <c r="R84" s="208"/>
      <c r="S84" s="208"/>
    </row>
  </sheetData>
  <sheetProtection password="DD47" sheet="1" objects="1" scenarios="1"/>
  <mergeCells count="5">
    <mergeCell ref="Q80:Q84"/>
    <mergeCell ref="F5:H5"/>
    <mergeCell ref="F7:H7"/>
    <mergeCell ref="M5:O5"/>
    <mergeCell ref="Q39:Q43"/>
  </mergeCells>
  <conditionalFormatting sqref="R7:S7">
    <cfRule type="cellIs" dxfId="301" priority="21" operator="equal">
      <formula>0</formula>
    </cfRule>
  </conditionalFormatting>
  <conditionalFormatting sqref="R9:S9 R12:S12 R25:S26 R60:S63 R14:S17 R19:S20">
    <cfRule type="expression" dxfId="300" priority="20">
      <formula>R$7&lt;&gt;0</formula>
    </cfRule>
  </conditionalFormatting>
  <conditionalFormatting sqref="R57:S58">
    <cfRule type="expression" dxfId="299" priority="7">
      <formula>R$7&lt;&gt;0</formula>
    </cfRule>
  </conditionalFormatting>
  <conditionalFormatting sqref="R23:S24">
    <cfRule type="expression" dxfId="298" priority="18">
      <formula>R$7&lt;&gt;0</formula>
    </cfRule>
  </conditionalFormatting>
  <conditionalFormatting sqref="R82:S84">
    <cfRule type="expression" dxfId="297" priority="1">
      <formula>R$7&lt;&gt;0</formula>
    </cfRule>
  </conditionalFormatting>
  <conditionalFormatting sqref="R28:S30">
    <cfRule type="expression" dxfId="296" priority="17">
      <formula>R$7&lt;&gt;0</formula>
    </cfRule>
  </conditionalFormatting>
  <conditionalFormatting sqref="R32:S33">
    <cfRule type="expression" dxfId="295" priority="15">
      <formula>R$7&lt;&gt;0</formula>
    </cfRule>
  </conditionalFormatting>
  <conditionalFormatting sqref="R35:S40">
    <cfRule type="expression" dxfId="294" priority="14">
      <formula>R$7&lt;&gt;0</formula>
    </cfRule>
  </conditionalFormatting>
  <conditionalFormatting sqref="R42:S43">
    <cfRule type="expression" dxfId="293" priority="13">
      <formula>R$7&lt;&gt;0</formula>
    </cfRule>
  </conditionalFormatting>
  <conditionalFormatting sqref="R46:S47">
    <cfRule type="expression" dxfId="292" priority="11">
      <formula>R$7&lt;&gt;0</formula>
    </cfRule>
  </conditionalFormatting>
  <conditionalFormatting sqref="R49:S50">
    <cfRule type="expression" dxfId="291" priority="10">
      <formula>R$7&lt;&gt;0</formula>
    </cfRule>
  </conditionalFormatting>
  <conditionalFormatting sqref="R51:S52">
    <cfRule type="expression" dxfId="290" priority="9">
      <formula>R$7&lt;&gt;0</formula>
    </cfRule>
  </conditionalFormatting>
  <conditionalFormatting sqref="R55:S56">
    <cfRule type="expression" dxfId="289" priority="8">
      <formula>R$7&lt;&gt;0</formula>
    </cfRule>
  </conditionalFormatting>
  <conditionalFormatting sqref="R67:S67">
    <cfRule type="expression" dxfId="288" priority="5">
      <formula>R$7&lt;&gt;0</formula>
    </cfRule>
  </conditionalFormatting>
  <conditionalFormatting sqref="R65:S66">
    <cfRule type="expression" dxfId="287" priority="6">
      <formula>R$7&lt;&gt;0</formula>
    </cfRule>
  </conditionalFormatting>
  <conditionalFormatting sqref="R69:S74">
    <cfRule type="expression" dxfId="286" priority="4">
      <formula>R$7&lt;&gt;0</formula>
    </cfRule>
  </conditionalFormatting>
  <conditionalFormatting sqref="R76:S77">
    <cfRule type="expression" dxfId="285" priority="3">
      <formula>R$7&lt;&gt;0</formula>
    </cfRule>
  </conditionalFormatting>
  <conditionalFormatting sqref="R79:S80">
    <cfRule type="expression" dxfId="284" priority="2">
      <formula>R$7&lt;&gt;0</formula>
    </cfRule>
  </conditionalFormatting>
  <pageMargins left="0.39370078740157483" right="0.39370078740157483" top="0.19685039370078741" bottom="0.39370078740157483" header="0" footer="0"/>
  <pageSetup paperSize="9" scale="65" fitToHeight="0" orientation="portrait" r:id="rId1"/>
  <headerFooter scaleWithDoc="0">
    <oddFooter>&amp;L&amp;G&amp;C&amp;"-,Obyčejné"&amp;8&amp;K00+000Tisk: &amp;D &amp;T&amp;R&amp;"-,Obyčejné"&amp;8&amp;K00+000&amp;F</oddFooter>
  </headerFooter>
  <rowBreaks count="1" manualBreakCount="1">
    <brk id="43" min="5" max="16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499984740745262"/>
  </sheetPr>
  <dimension ref="A1:R73"/>
  <sheetViews>
    <sheetView showGridLines="0" showRowColHeaders="0" showZeros="0" zoomScale="80" zoomScaleNormal="80" workbookViewId="0">
      <pane ySplit="7" topLeftCell="A8" activePane="bottomLeft" state="frozen"/>
      <selection activeCell="F1" sqref="F1"/>
      <selection pane="bottomLeft" activeCell="J8" sqref="J8"/>
    </sheetView>
  </sheetViews>
  <sheetFormatPr defaultColWidth="0" defaultRowHeight="23.25" x14ac:dyDescent="0.2"/>
  <cols>
    <col min="1" max="1" width="2.85546875" style="520" hidden="1" customWidth="1"/>
    <col min="2" max="2" width="6.7109375" style="521" hidden="1" customWidth="1"/>
    <col min="3" max="4" width="6" style="520" hidden="1" customWidth="1"/>
    <col min="5" max="5" width="2.85546875" style="522" customWidth="1"/>
    <col min="6" max="8" width="2.85546875" style="148" customWidth="1"/>
    <col min="9" max="9" width="2.85546875" style="285" customWidth="1"/>
    <col min="10" max="10" width="66.85546875" style="148" customWidth="1"/>
    <col min="11" max="11" width="6.42578125" style="148" customWidth="1"/>
    <col min="12" max="13" width="28.7109375" style="148" customWidth="1"/>
    <col min="14" max="14" width="2.7109375" style="14" customWidth="1"/>
    <col min="15" max="16" width="4.5703125" style="11" customWidth="1"/>
    <col min="17" max="17" width="2.7109375" style="11" customWidth="1"/>
    <col min="18" max="18" width="0" style="11" hidden="1" customWidth="1"/>
    <col min="19" max="16384" width="9.140625" style="11" hidden="1"/>
  </cols>
  <sheetData>
    <row r="1" spans="1:16" s="67" customFormat="1" ht="26.25" x14ac:dyDescent="0.4">
      <c r="A1" s="510"/>
      <c r="B1" s="511"/>
      <c r="C1" s="510"/>
      <c r="D1" s="510"/>
      <c r="E1" s="512"/>
      <c r="F1" s="150" t="str">
        <f>IF(jazyk="česky","ROZVAHA v plném rozsahu",IF(jazyk="anglicky","BALANCE SHEET in full format",IF(jazyk="německy","BILANZ in vollständiger Fassung","-")))</f>
        <v>ROZVAHA v plném rozsahu</v>
      </c>
      <c r="G1" s="69"/>
      <c r="H1" s="69"/>
      <c r="I1" s="69"/>
      <c r="J1" s="69"/>
      <c r="K1" s="70"/>
      <c r="L1" s="151"/>
      <c r="M1" s="152">
        <f>INDEX!C6</f>
        <v>0</v>
      </c>
    </row>
    <row r="2" spans="1:16" s="32" customFormat="1" ht="15.75" x14ac:dyDescent="0.2">
      <c r="A2" s="513"/>
      <c r="B2" s="514"/>
      <c r="C2" s="513"/>
      <c r="D2" s="513"/>
      <c r="E2" s="515"/>
      <c r="F2" s="71" t="str">
        <f>CONCATENATE(IF(jazyk="česky","ke dni",IF(jazyk="anglicky","as at",IF(jazyk="německy","zum","-"))),"   ",DAY(INDEX!D11),".",MONTH(INDEX!D11),".",YEAR(INDEX!D11))</f>
        <v>ke dni   0.1.1900</v>
      </c>
      <c r="G2" s="72"/>
      <c r="H2" s="72"/>
      <c r="I2" s="72"/>
      <c r="J2" s="72"/>
      <c r="K2" s="73"/>
      <c r="L2" s="74"/>
      <c r="M2" s="75">
        <f>INDEX!C8</f>
        <v>0</v>
      </c>
    </row>
    <row r="3" spans="1:16" s="32" customFormat="1" ht="15.75" x14ac:dyDescent="0.2">
      <c r="A3" s="513"/>
      <c r="B3" s="514"/>
      <c r="C3" s="513"/>
      <c r="D3" s="513"/>
      <c r="E3" s="516"/>
      <c r="F3" s="76" t="str">
        <f>CONCATENATE("(",VLOOKUP(zaokr,INDEX!I17:J18,2,0),")")</f>
        <v>(v celých Kč)</v>
      </c>
      <c r="G3" s="74"/>
      <c r="H3" s="74"/>
      <c r="I3" s="74"/>
      <c r="J3" s="74"/>
      <c r="K3" s="77"/>
      <c r="L3" s="162"/>
      <c r="M3" s="79">
        <f>INDEX!C4</f>
        <v>0</v>
      </c>
    </row>
    <row r="4" spans="1:16" s="13" customFormat="1" ht="24" thickBot="1" x14ac:dyDescent="0.25">
      <c r="A4" s="517"/>
      <c r="B4" s="518"/>
      <c r="C4" s="517"/>
      <c r="D4" s="517"/>
      <c r="E4" s="519"/>
      <c r="F4" s="74"/>
      <c r="G4" s="74"/>
      <c r="H4" s="74"/>
      <c r="I4" s="74"/>
      <c r="J4" s="74"/>
      <c r="K4" s="80"/>
      <c r="L4" s="163"/>
      <c r="M4" s="155"/>
    </row>
    <row r="5" spans="1:16" x14ac:dyDescent="0.25">
      <c r="B5" s="521" t="s">
        <v>515</v>
      </c>
      <c r="F5" s="555" t="str">
        <f>IF(jazyk="česky","Označení",IF(jazyk="anglicky","Ident.",IF(jazyk="německy","Ident.","-")))</f>
        <v>Označení</v>
      </c>
      <c r="G5" s="556"/>
      <c r="H5" s="556"/>
      <c r="I5" s="273"/>
      <c r="J5" s="82" t="str">
        <f>IF(jazyk="česky","PASIVA",IF(jazyk="anglicky","EQUITY AND LIABILITIES",IF(jazyk="německy","PASSIVA","-")))</f>
        <v>PASIVA</v>
      </c>
      <c r="K5" s="83" t="str">
        <f>IF(jazyk="česky","Číslo",IF(jazyk="anglicky"," ",IF(jazyk="německy"," ","-")))</f>
        <v>Číslo</v>
      </c>
      <c r="L5" s="564" t="str">
        <f>IF(jazyk="česky","Stav v běžném účetním období",IF(jazyk="anglicky","Current period",IF(jazyk="německy","Laufende Periode","-")))</f>
        <v>Stav v běžném účetním období</v>
      </c>
      <c r="M5" s="566" t="str">
        <f>IF(jazyk="česky","Stav v minulém účetním období",IF(jazyk="anglicky","Prior period",IF(jazyk="německy","Vorjahr","-")))</f>
        <v>Stav v minulém účetním období</v>
      </c>
      <c r="N5" s="11"/>
      <c r="O5" s="211">
        <f>-(ROUND(SUMIFS(data!$Y:$Y,data!$C:$C,INDEX!$D$11,data!$N:$N,$B5)+SUMIFS(data!$Y:$Y,data!$C:$C,INDEX!$D$11,data!$M:$M,"Výsledovka"),0)+SUMIF($C:$C,"PAS",L:L))+SUM(O8:O74)</f>
        <v>0</v>
      </c>
      <c r="P5" s="211">
        <f>-(ROUND(SUMIFS(data!$Y:$Y,data!$C:$C,INDEX!$E$11,data!$N:$N,$B5),0)+SUMIFS(data!$Y:$Y,data!$C:$C,INDEX!$E$11,data!$M:$M,"Výsledovka")+SUMIF($C:$C,"PAS",M:M))+SUM(P8:P74)</f>
        <v>0</v>
      </c>
    </row>
    <row r="6" spans="1:16" ht="12.75" customHeight="1" x14ac:dyDescent="0.2">
      <c r="F6" s="84"/>
      <c r="G6" s="85"/>
      <c r="H6" s="85"/>
      <c r="I6" s="86"/>
      <c r="J6" s="87"/>
      <c r="K6" s="88" t="str">
        <f>IF(jazyk="česky","řádku",IF(jazyk="anglicky","Line",IF(jazyk="německy","Zeile","-")))</f>
        <v>řádku</v>
      </c>
      <c r="L6" s="565"/>
      <c r="M6" s="567"/>
      <c r="N6" s="11"/>
      <c r="O6" s="212" t="s">
        <v>340</v>
      </c>
      <c r="P6" s="212" t="s">
        <v>341</v>
      </c>
    </row>
    <row r="7" spans="1:16" ht="13.5" customHeight="1" thickBot="1" x14ac:dyDescent="0.25">
      <c r="B7" s="521" t="s">
        <v>515</v>
      </c>
      <c r="C7" s="520" t="s">
        <v>630</v>
      </c>
      <c r="D7" s="520" t="s">
        <v>748</v>
      </c>
      <c r="F7" s="562" t="s">
        <v>257</v>
      </c>
      <c r="G7" s="563"/>
      <c r="H7" s="563"/>
      <c r="I7" s="275"/>
      <c r="J7" s="127" t="s">
        <v>235</v>
      </c>
      <c r="K7" s="128" t="s">
        <v>236</v>
      </c>
      <c r="L7" s="123">
        <v>5</v>
      </c>
      <c r="M7" s="156">
        <v>6</v>
      </c>
      <c r="N7" s="11"/>
      <c r="O7" s="215">
        <f>ROUND(AKTIVA!O8,0)-SUMIF($C:$C,"PAS",L:L)</f>
        <v>0</v>
      </c>
      <c r="P7" s="215">
        <f>ROUND(AKTIVA!P8,0)-SUMIF($C:$C,"PAS",M:M)</f>
        <v>0</v>
      </c>
    </row>
    <row r="8" spans="1:16" ht="27" thickBot="1" x14ac:dyDescent="0.25">
      <c r="D8" s="520" t="s">
        <v>788</v>
      </c>
      <c r="E8" s="523"/>
      <c r="F8" s="328"/>
      <c r="G8" s="329"/>
      <c r="H8" s="329"/>
      <c r="I8" s="361"/>
      <c r="J8" s="330" t="str">
        <f>VLOOKUP(K8,radky_R!A:O,15,0)</f>
        <v>PASIVA CELKEM      (ř. 79 + 101 + 141)</v>
      </c>
      <c r="K8" s="331">
        <v>78</v>
      </c>
      <c r="L8" s="362">
        <f>IF($D8="calc",ROUND(-SUMIFS(data!$Y:$Y,data!$C:$C,INDEX!$D$11,data!$N:$N,$B8,data!$S:$S,$K8),0)+O8,SUMIFS(L:L,$C:$C,$D8))</f>
        <v>0</v>
      </c>
      <c r="M8" s="363">
        <f>IF($D8="calc",ROUND(-SUMIFS(data!$Y:$Y,data!$C:$C,INDEX!$E$11,data!$N:$N,$B8,data!$S:$S,$K8),0)+P8,SUMIFS(M:M,$C:$C,$D8))</f>
        <v>0</v>
      </c>
      <c r="N8" s="11"/>
      <c r="O8" s="216"/>
      <c r="P8" s="216"/>
    </row>
    <row r="9" spans="1:16" ht="26.25" x14ac:dyDescent="0.2">
      <c r="A9" s="520">
        <v>-1</v>
      </c>
      <c r="B9" s="521" t="s">
        <v>515</v>
      </c>
      <c r="C9" s="520" t="s">
        <v>788</v>
      </c>
      <c r="D9" s="520" t="s">
        <v>237</v>
      </c>
      <c r="E9" s="523"/>
      <c r="F9" s="141" t="s">
        <v>237</v>
      </c>
      <c r="G9" s="341"/>
      <c r="H9" s="284" t="s">
        <v>261</v>
      </c>
      <c r="I9" s="143"/>
      <c r="J9" s="130" t="str">
        <f>VLOOKUP(K9,radky_R!A:O,15,0)</f>
        <v>Vlastní kapitál      (ř. 80 + 84 + 92 + 95 + 99 + 100)</v>
      </c>
      <c r="K9" s="144">
        <v>79</v>
      </c>
      <c r="L9" s="364">
        <f>IF($D9="calc",ROUND(-SUMIFS(data!$Y:$Y,data!$C:$C,INDEX!$D$11,data!$N:$N,$B9,data!$S:$S,$K9),0)+O9,SUMIFS(L:L,$C:$C,$D9))</f>
        <v>0</v>
      </c>
      <c r="M9" s="365">
        <f>IF($D9="calc",ROUND(-SUMIFS(data!$Y:$Y,data!$C:$C,INDEX!$E$11,data!$N:$N,$B9,data!$S:$S,$K9),0)+P9,SUMIFS(M:M,$C:$C,$D9))</f>
        <v>0</v>
      </c>
      <c r="N9" s="11"/>
      <c r="O9" s="217"/>
      <c r="P9" s="217"/>
    </row>
    <row r="10" spans="1:16" ht="26.25" x14ac:dyDescent="0.2">
      <c r="A10" s="520">
        <v>-1</v>
      </c>
      <c r="B10" s="521" t="s">
        <v>515</v>
      </c>
      <c r="C10" s="520" t="str">
        <f>IF(F10&gt;0,F10,C9)</f>
        <v>A.</v>
      </c>
      <c r="D10" s="520" t="s">
        <v>787</v>
      </c>
      <c r="E10" s="523"/>
      <c r="F10" s="281" t="s">
        <v>237</v>
      </c>
      <c r="G10" s="282" t="s">
        <v>239</v>
      </c>
      <c r="H10" s="282"/>
      <c r="I10" s="286"/>
      <c r="J10" s="106" t="str">
        <f>VLOOKUP(K10,radky_R!A:O,15,0)</f>
        <v>Základní kapitál      (ř. 81 až 83)</v>
      </c>
      <c r="K10" s="147">
        <v>80</v>
      </c>
      <c r="L10" s="98">
        <f>IF($D10="calc",ROUND(-SUMIFS(data!$Y:$Y,data!$C:$C,INDEX!$D$11,data!$N:$N,$B10,data!$S:$S,$K10),0)+O10,SUMIFS(L:L,$C:$C,$D10))</f>
        <v>0</v>
      </c>
      <c r="M10" s="107">
        <f>IF($D10="calc",ROUND(-SUMIFS(data!$Y:$Y,data!$C:$C,INDEX!$E$11,data!$N:$N,$B10,data!$S:$S,$K10),0)+P10,SUMIFS(M:M,$C:$C,$D10))</f>
        <v>0</v>
      </c>
      <c r="N10" s="11"/>
      <c r="O10" s="217"/>
      <c r="P10" s="217"/>
    </row>
    <row r="11" spans="1:16" ht="26.25" x14ac:dyDescent="0.2">
      <c r="A11" s="520">
        <v>-1</v>
      </c>
      <c r="B11" s="521" t="s">
        <v>515</v>
      </c>
      <c r="C11" s="520" t="s">
        <v>787</v>
      </c>
      <c r="D11" s="520" t="s">
        <v>747</v>
      </c>
      <c r="E11" s="523"/>
      <c r="F11" s="366" t="s">
        <v>237</v>
      </c>
      <c r="G11" s="367" t="s">
        <v>239</v>
      </c>
      <c r="H11" s="367" t="s">
        <v>240</v>
      </c>
      <c r="I11" s="368"/>
      <c r="J11" s="157" t="str">
        <f>VLOOKUP(K11,radky_R!A:O,15,0)</f>
        <v>Základní kapitál</v>
      </c>
      <c r="K11" s="575">
        <v>81</v>
      </c>
      <c r="L11" s="158">
        <f>IF($D11="calc",ROUND(-SUMIFS(data!$Y:$Y,data!$C:$C,INDEX!$D$11,data!$N:$N,$B11,data!$S:$S,$K11),0)+O11,SUMIFS(L:L,$C:$C,$D11))</f>
        <v>0</v>
      </c>
      <c r="M11" s="159">
        <f>IF($D11="calc",ROUND(-SUMIFS(data!$Y:$Y,data!$C:$C,INDEX!$E$11,data!$N:$N,$B11,data!$S:$S,$K11),0)+P11,SUMIFS(M:M,$C:$C,$D11))</f>
        <v>0</v>
      </c>
      <c r="N11" s="11"/>
      <c r="O11" s="208"/>
      <c r="P11" s="208"/>
    </row>
    <row r="12" spans="1:16" ht="26.25" x14ac:dyDescent="0.2">
      <c r="A12" s="520">
        <v>-1</v>
      </c>
      <c r="B12" s="521" t="s">
        <v>515</v>
      </c>
      <c r="C12" s="520" t="s">
        <v>787</v>
      </c>
      <c r="D12" s="520" t="s">
        <v>747</v>
      </c>
      <c r="E12" s="523"/>
      <c r="F12" s="366" t="s">
        <v>237</v>
      </c>
      <c r="G12" s="367" t="s">
        <v>239</v>
      </c>
      <c r="H12" s="367" t="s">
        <v>241</v>
      </c>
      <c r="I12" s="368"/>
      <c r="J12" s="100" t="str">
        <f>VLOOKUP(K12,radky_R!A:O,15,0)</f>
        <v>Vlastní podíly (-)</v>
      </c>
      <c r="K12" s="576">
        <v>82</v>
      </c>
      <c r="L12" s="101">
        <f>IF($D12="calc",ROUND(-SUMIFS(data!$Y:$Y,data!$C:$C,INDEX!$D$11,data!$N:$N,$B12,data!$S:$S,$K12),0)+O12,SUMIFS(L:L,$C:$C,$D12))</f>
        <v>0</v>
      </c>
      <c r="M12" s="102">
        <f>IF($D12="calc",ROUND(-SUMIFS(data!$Y:$Y,data!$C:$C,INDEX!$E$11,data!$N:$N,$B12,data!$S:$S,$K12),0)+P12,SUMIFS(M:M,$C:$C,$D12))</f>
        <v>0</v>
      </c>
      <c r="N12" s="11"/>
      <c r="O12" s="208"/>
      <c r="P12" s="208"/>
    </row>
    <row r="13" spans="1:16" ht="26.25" x14ac:dyDescent="0.2">
      <c r="A13" s="520">
        <v>-1</v>
      </c>
      <c r="B13" s="521" t="s">
        <v>515</v>
      </c>
      <c r="C13" s="520" t="s">
        <v>787</v>
      </c>
      <c r="D13" s="520" t="s">
        <v>747</v>
      </c>
      <c r="E13" s="523"/>
      <c r="F13" s="369" t="s">
        <v>237</v>
      </c>
      <c r="G13" s="370" t="s">
        <v>239</v>
      </c>
      <c r="H13" s="371" t="s">
        <v>242</v>
      </c>
      <c r="I13" s="372"/>
      <c r="J13" s="100" t="str">
        <f>VLOOKUP(K13,radky_R!A:O,15,0)</f>
        <v>Změny základního kapitálu</v>
      </c>
      <c r="K13" s="576">
        <v>83</v>
      </c>
      <c r="L13" s="101">
        <f>IF($D13="calc",ROUND(-SUMIFS(data!$Y:$Y,data!$C:$C,INDEX!$D$11,data!$N:$N,$B13,data!$S:$S,$K13),0)+O13,SUMIFS(L:L,$C:$C,$D13))</f>
        <v>0</v>
      </c>
      <c r="M13" s="102">
        <f>IF($D13="calc",ROUND(-SUMIFS(data!$Y:$Y,data!$C:$C,INDEX!$E$11,data!$N:$N,$B13,data!$S:$S,$K13),0)+P13,SUMIFS(M:M,$C:$C,$D13))</f>
        <v>0</v>
      </c>
      <c r="N13" s="11"/>
      <c r="O13" s="208"/>
      <c r="P13" s="208"/>
    </row>
    <row r="14" spans="1:16" ht="26.25" x14ac:dyDescent="0.2">
      <c r="A14" s="520">
        <v>-1</v>
      </c>
      <c r="B14" s="521" t="s">
        <v>515</v>
      </c>
      <c r="C14" s="520" t="s">
        <v>237</v>
      </c>
      <c r="D14" s="520" t="s">
        <v>789</v>
      </c>
      <c r="E14" s="523"/>
      <c r="F14" s="281" t="s">
        <v>237</v>
      </c>
      <c r="G14" s="282" t="s">
        <v>249</v>
      </c>
      <c r="H14" s="282"/>
      <c r="I14" s="286"/>
      <c r="J14" s="106" t="str">
        <f>VLOOKUP(K14,radky_R!A:O,15,0)</f>
        <v>Ažio a kapitálové fondy      (ř. 85 + 86)</v>
      </c>
      <c r="K14" s="147">
        <v>84</v>
      </c>
      <c r="L14" s="98">
        <f>IF($D14="calc",ROUND(-SUMIFS(data!$Y:$Y,data!$C:$C,INDEX!$D$11,data!$N:$N,$B14,data!$S:$S,$K14),0)+O14,SUMIFS(L:L,$C:$C,$D14))</f>
        <v>0</v>
      </c>
      <c r="M14" s="107">
        <f>IF($D14="calc",ROUND(-SUMIFS(data!$Y:$Y,data!$C:$C,INDEX!$E$11,data!$N:$N,$B14,data!$S:$S,$K14),0)+P14,SUMIFS(M:M,$C:$C,$D14))</f>
        <v>0</v>
      </c>
      <c r="N14" s="11"/>
      <c r="O14" s="217"/>
      <c r="P14" s="217"/>
    </row>
    <row r="15" spans="1:16" ht="26.25" x14ac:dyDescent="0.2">
      <c r="A15" s="520">
        <v>-1</v>
      </c>
      <c r="B15" s="521" t="s">
        <v>515</v>
      </c>
      <c r="C15" s="520" t="s">
        <v>789</v>
      </c>
      <c r="D15" s="520" t="s">
        <v>747</v>
      </c>
      <c r="E15" s="523"/>
      <c r="F15" s="373" t="s">
        <v>237</v>
      </c>
      <c r="G15" s="374" t="s">
        <v>249</v>
      </c>
      <c r="H15" s="367" t="s">
        <v>240</v>
      </c>
      <c r="I15" s="368"/>
      <c r="J15" s="108" t="str">
        <f>VLOOKUP(K15,radky_R!A:O,15,0)</f>
        <v>Ážio</v>
      </c>
      <c r="K15" s="576">
        <v>85</v>
      </c>
      <c r="L15" s="109">
        <f>IF($D15="calc",ROUND(-SUMIFS(data!$Y:$Y,data!$C:$C,INDEX!$D$11,data!$N:$N,$B15,data!$S:$S,$K15),0)+O15,SUMIFS(L:L,$C:$C,$D15))</f>
        <v>0</v>
      </c>
      <c r="M15" s="110">
        <f>IF($D15="calc",ROUND(-SUMIFS(data!$Y:$Y,data!$C:$C,INDEX!$E$11,data!$N:$N,$B15,data!$S:$S,$K15),0)+P15,SUMIFS(M:M,$C:$C,$D15))</f>
        <v>0</v>
      </c>
      <c r="N15" s="11"/>
      <c r="O15" s="208"/>
      <c r="P15" s="208"/>
    </row>
    <row r="16" spans="1:16" s="27" customFormat="1" ht="26.25" x14ac:dyDescent="0.2">
      <c r="A16" s="524">
        <v>-1</v>
      </c>
      <c r="B16" s="525" t="s">
        <v>515</v>
      </c>
      <c r="C16" s="520" t="s">
        <v>789</v>
      </c>
      <c r="D16" s="524" t="s">
        <v>790</v>
      </c>
      <c r="E16" s="526"/>
      <c r="F16" s="380" t="s">
        <v>237</v>
      </c>
      <c r="G16" s="381" t="s">
        <v>249</v>
      </c>
      <c r="H16" s="382" t="s">
        <v>241</v>
      </c>
      <c r="I16" s="383"/>
      <c r="J16" s="111" t="str">
        <f>VLOOKUP(K16,radky_R!A:O,15,0)</f>
        <v>Kapitálové fondy</v>
      </c>
      <c r="K16" s="577">
        <v>86</v>
      </c>
      <c r="L16" s="112">
        <f>IF($D16="calc",ROUND(-SUMIFS(data!$Y:$Y,data!$C:$C,INDEX!$D$11,data!$N:$N,$B16,data!$S:$S,$K16),0)+O16,SUMIFS(L:L,$C:$C,$D16))</f>
        <v>0</v>
      </c>
      <c r="M16" s="113">
        <f>IF($D16="calc",ROUND(-SUMIFS(data!$Y:$Y,data!$C:$C,INDEX!$E$11,data!$N:$N,$B16,data!$S:$S,$K16),0)+P16,SUMIFS(M:M,$C:$C,$D16))</f>
        <v>0</v>
      </c>
      <c r="O16" s="217"/>
      <c r="P16" s="217"/>
    </row>
    <row r="17" spans="1:16" s="296" customFormat="1" ht="26.25" x14ac:dyDescent="0.2">
      <c r="A17" s="527">
        <v>-1</v>
      </c>
      <c r="B17" s="528" t="s">
        <v>515</v>
      </c>
      <c r="C17" s="524" t="s">
        <v>790</v>
      </c>
      <c r="D17" s="527" t="s">
        <v>747</v>
      </c>
      <c r="E17" s="529"/>
      <c r="F17" s="375"/>
      <c r="G17" s="376"/>
      <c r="H17" s="377"/>
      <c r="I17" s="377" t="s">
        <v>240</v>
      </c>
      <c r="J17" s="384" t="str">
        <f>VLOOKUP(K17,radky_R!A:O,15,0)</f>
        <v>Ostatní kapitálové fondy</v>
      </c>
      <c r="K17" s="578">
        <v>87</v>
      </c>
      <c r="L17" s="535">
        <f>IF($D17="calc",ROUND(-SUMIFS(data!$Y:$Y,data!$C:$C,INDEX!$D$11,data!$N:$N,$B17,data!$S:$S,$K17),0)+O17,SUMIFS(L:L,$C:$C,$D17))</f>
        <v>0</v>
      </c>
      <c r="M17" s="536">
        <f>IF($D17="calc",ROUND(-SUMIFS(data!$Y:$Y,data!$C:$C,INDEX!$E$11,data!$N:$N,$B17,data!$S:$S,$K17),0)+P17,SUMIFS(M:M,$C:$C,$D17))</f>
        <v>0</v>
      </c>
      <c r="O17" s="297"/>
      <c r="P17" s="297"/>
    </row>
    <row r="18" spans="1:16" s="296" customFormat="1" ht="26.25" x14ac:dyDescent="0.2">
      <c r="A18" s="527">
        <v>-1</v>
      </c>
      <c r="B18" s="528" t="s">
        <v>515</v>
      </c>
      <c r="C18" s="524" t="s">
        <v>790</v>
      </c>
      <c r="D18" s="527" t="s">
        <v>747</v>
      </c>
      <c r="E18" s="529"/>
      <c r="F18" s="300"/>
      <c r="G18" s="376"/>
      <c r="H18" s="294"/>
      <c r="I18" s="294" t="s">
        <v>241</v>
      </c>
      <c r="J18" s="384" t="str">
        <f>VLOOKUP(K18,radky_R!A:O,15,0)</f>
        <v>Oceňovací rozdíly z přecenění majetku a závazků (+/-)</v>
      </c>
      <c r="K18" s="295">
        <v>88</v>
      </c>
      <c r="L18" s="535">
        <f>IF($D18="calc",ROUND(-SUMIFS(data!$Y:$Y,data!$C:$C,INDEX!$D$11,data!$N:$N,$B18,data!$S:$S,$K18),0)+O18,SUMIFS(L:L,$C:$C,$D18))</f>
        <v>0</v>
      </c>
      <c r="M18" s="536">
        <f>IF($D18="calc",ROUND(-SUMIFS(data!$Y:$Y,data!$C:$C,INDEX!$E$11,data!$N:$N,$B18,data!$S:$S,$K18),0)+P18,SUMIFS(M:M,$C:$C,$D18))</f>
        <v>0</v>
      </c>
      <c r="O18" s="297"/>
      <c r="P18" s="297"/>
    </row>
    <row r="19" spans="1:16" s="296" customFormat="1" ht="26.25" x14ac:dyDescent="0.2">
      <c r="A19" s="527">
        <v>-1</v>
      </c>
      <c r="B19" s="528" t="s">
        <v>515</v>
      </c>
      <c r="C19" s="524" t="s">
        <v>790</v>
      </c>
      <c r="D19" s="527" t="s">
        <v>747</v>
      </c>
      <c r="E19" s="529"/>
      <c r="F19" s="378"/>
      <c r="G19" s="379"/>
      <c r="H19" s="377"/>
      <c r="I19" s="377" t="s">
        <v>242</v>
      </c>
      <c r="J19" s="385" t="str">
        <f>VLOOKUP(K19,radky_R!A:O,15,0)</f>
        <v>Oceňovací rozdíly z přecenění při přeměnách obchodních korporací (+/-)</v>
      </c>
      <c r="K19" s="386">
        <v>89</v>
      </c>
      <c r="L19" s="531">
        <f>IF($D19="calc",ROUND(-SUMIFS(data!$Y:$Y,data!$C:$C,INDEX!$D$11,data!$N:$N,$B19,data!$S:$S,$K19),0)+O19,SUMIFS(L:L,$C:$C,$D19))</f>
        <v>0</v>
      </c>
      <c r="M19" s="532">
        <f>IF($D19="calc",ROUND(-SUMIFS(data!$Y:$Y,data!$C:$C,INDEX!$E$11,data!$N:$N,$B19,data!$S:$S,$K19),0)+P19,SUMIFS(M:M,$C:$C,$D19))</f>
        <v>0</v>
      </c>
      <c r="O19" s="297"/>
      <c r="P19" s="297"/>
    </row>
    <row r="20" spans="1:16" s="296" customFormat="1" ht="26.25" x14ac:dyDescent="0.2">
      <c r="A20" s="527">
        <v>-1</v>
      </c>
      <c r="B20" s="528" t="s">
        <v>515</v>
      </c>
      <c r="C20" s="524" t="s">
        <v>790</v>
      </c>
      <c r="D20" s="527" t="s">
        <v>747</v>
      </c>
      <c r="E20" s="529"/>
      <c r="F20" s="378"/>
      <c r="G20" s="376"/>
      <c r="H20" s="377"/>
      <c r="I20" s="377" t="s">
        <v>243</v>
      </c>
      <c r="J20" s="385" t="str">
        <f>VLOOKUP(K20,radky_R!A:O,15,0)</f>
        <v>Rozdíly z přeměn obchodních korporací</v>
      </c>
      <c r="K20" s="386">
        <v>90</v>
      </c>
      <c r="L20" s="531">
        <f>IF($D20="calc",ROUND(-SUMIFS(data!$Y:$Y,data!$C:$C,INDEX!$D$11,data!$N:$N,$B20,data!$S:$S,$K20),0)+O20,SUMIFS(L:L,$C:$C,$D20))</f>
        <v>0</v>
      </c>
      <c r="M20" s="532">
        <f>IF($D20="calc",ROUND(-SUMIFS(data!$Y:$Y,data!$C:$C,INDEX!$E$11,data!$N:$N,$B20,data!$S:$S,$K20),0)+P20,SUMIFS(M:M,$C:$C,$D20))</f>
        <v>0</v>
      </c>
      <c r="O20" s="297"/>
      <c r="P20" s="297"/>
    </row>
    <row r="21" spans="1:16" s="296" customFormat="1" ht="26.25" x14ac:dyDescent="0.2">
      <c r="A21" s="527">
        <v>-1</v>
      </c>
      <c r="B21" s="528" t="s">
        <v>515</v>
      </c>
      <c r="C21" s="524" t="s">
        <v>790</v>
      </c>
      <c r="D21" s="527" t="s">
        <v>747</v>
      </c>
      <c r="E21" s="529"/>
      <c r="F21" s="388"/>
      <c r="G21" s="377"/>
      <c r="H21" s="377"/>
      <c r="I21" s="377" t="s">
        <v>244</v>
      </c>
      <c r="J21" s="389" t="str">
        <f>VLOOKUP(K21,radky_R!A:O,15,0)</f>
        <v>Rozdíly z ocenění při přeměnách obchodních korporací</v>
      </c>
      <c r="K21" s="390">
        <v>91</v>
      </c>
      <c r="L21" s="533">
        <f>IF($D21="calc",ROUND(-SUMIFS(data!$Y:$Y,data!$C:$C,INDEX!$D$11,data!$N:$N,$B21,data!$S:$S,$K21),0)+O21,SUMIFS(L:L,$C:$C,$D21))</f>
        <v>0</v>
      </c>
      <c r="M21" s="534">
        <f>IF($D21="calc",ROUND(-SUMIFS(data!$Y:$Y,data!$C:$C,INDEX!$E$11,data!$N:$N,$B21,data!$S:$S,$K21),0)+P21,SUMIFS(M:M,$C:$C,$D21))</f>
        <v>0</v>
      </c>
      <c r="O21" s="387"/>
      <c r="P21" s="387"/>
    </row>
    <row r="22" spans="1:16" ht="26.25" x14ac:dyDescent="0.2">
      <c r="A22" s="520">
        <v>-1</v>
      </c>
      <c r="B22" s="521" t="s">
        <v>515</v>
      </c>
      <c r="C22" s="520" t="s">
        <v>237</v>
      </c>
      <c r="D22" s="520" t="s">
        <v>791</v>
      </c>
      <c r="E22" s="523"/>
      <c r="F22" s="281" t="s">
        <v>237</v>
      </c>
      <c r="G22" s="282" t="s">
        <v>254</v>
      </c>
      <c r="H22" s="282"/>
      <c r="I22" s="286"/>
      <c r="J22" s="106" t="str">
        <f>VLOOKUP(K22,radky_R!A:O,15,0)</f>
        <v>Fondy ze zisku      (ř. 93 + 94)</v>
      </c>
      <c r="K22" s="147">
        <v>92</v>
      </c>
      <c r="L22" s="98">
        <f>IF($D22="calc",ROUND(-SUMIFS(data!$Y:$Y,data!$C:$C,INDEX!$D$11,data!$N:$N,$B22,data!$S:$S,$K22),0)+O22,SUMIFS(L:L,$C:$C,$D22))</f>
        <v>0</v>
      </c>
      <c r="M22" s="107">
        <f>IF($D22="calc",ROUND(-SUMIFS(data!$Y:$Y,data!$C:$C,INDEX!$E$11,data!$N:$N,$B22,data!$S:$S,$K22),0)+P22,SUMIFS(M:M,$C:$C,$D22))</f>
        <v>0</v>
      </c>
      <c r="N22" s="11"/>
      <c r="O22" s="217"/>
      <c r="P22" s="217"/>
    </row>
    <row r="23" spans="1:16" ht="26.25" x14ac:dyDescent="0.2">
      <c r="A23" s="520">
        <v>-1</v>
      </c>
      <c r="B23" s="521" t="s">
        <v>515</v>
      </c>
      <c r="C23" s="520" t="s">
        <v>791</v>
      </c>
      <c r="D23" s="520" t="s">
        <v>747</v>
      </c>
      <c r="E23" s="523"/>
      <c r="F23" s="366" t="s">
        <v>237</v>
      </c>
      <c r="G23" s="367" t="s">
        <v>254</v>
      </c>
      <c r="H23" s="367" t="s">
        <v>240</v>
      </c>
      <c r="I23" s="368"/>
      <c r="J23" s="100" t="str">
        <f>VLOOKUP(K23,radky_R!A:O,15,0)</f>
        <v>Ostatní rezervní fondy</v>
      </c>
      <c r="K23" s="160">
        <v>93</v>
      </c>
      <c r="L23" s="101">
        <f>IF($D23="calc",ROUND(-SUMIFS(data!$Y:$Y,data!$C:$C,INDEX!$D$11,data!$N:$N,$B23,data!$S:$S,$K23),0)+O23,SUMIFS(L:L,$C:$C,$D23))</f>
        <v>0</v>
      </c>
      <c r="M23" s="102">
        <f>IF($D23="calc",ROUND(-SUMIFS(data!$Y:$Y,data!$C:$C,INDEX!$E$11,data!$N:$N,$B23,data!$S:$S,$K23),0)+P23,SUMIFS(M:M,$C:$C,$D23))</f>
        <v>0</v>
      </c>
      <c r="N23" s="11"/>
      <c r="O23" s="208"/>
      <c r="P23" s="208"/>
    </row>
    <row r="24" spans="1:16" ht="26.25" x14ac:dyDescent="0.2">
      <c r="A24" s="520">
        <v>-1</v>
      </c>
      <c r="B24" s="521" t="s">
        <v>515</v>
      </c>
      <c r="C24" s="520" t="s">
        <v>791</v>
      </c>
      <c r="D24" s="520" t="s">
        <v>747</v>
      </c>
      <c r="E24" s="523"/>
      <c r="F24" s="366" t="s">
        <v>237</v>
      </c>
      <c r="G24" s="367" t="s">
        <v>254</v>
      </c>
      <c r="H24" s="367" t="s">
        <v>241</v>
      </c>
      <c r="I24" s="368"/>
      <c r="J24" s="100" t="str">
        <f>VLOOKUP(K24,radky_R!A:O,15,0)</f>
        <v>Statutární a ostatní fondy</v>
      </c>
      <c r="K24" s="160">
        <v>94</v>
      </c>
      <c r="L24" s="101">
        <f>IF($D24="calc",ROUND(-SUMIFS(data!$Y:$Y,data!$C:$C,INDEX!$D$11,data!$N:$N,$B24,data!$S:$S,$K24),0)+O24,SUMIFS(L:L,$C:$C,$D24))</f>
        <v>0</v>
      </c>
      <c r="M24" s="102">
        <f>IF($D24="calc",ROUND(-SUMIFS(data!$Y:$Y,data!$C:$C,INDEX!$E$11,data!$N:$N,$B24,data!$S:$S,$K24),0)+P24,SUMIFS(M:M,$C:$C,$D24))</f>
        <v>0</v>
      </c>
      <c r="N24" s="11"/>
      <c r="O24" s="208"/>
      <c r="P24" s="208"/>
    </row>
    <row r="25" spans="1:16" ht="26.25" x14ac:dyDescent="0.2">
      <c r="A25" s="520">
        <v>-1</v>
      </c>
      <c r="B25" s="521" t="s">
        <v>515</v>
      </c>
      <c r="C25" s="520" t="s">
        <v>237</v>
      </c>
      <c r="D25" s="520" t="s">
        <v>792</v>
      </c>
      <c r="E25" s="523"/>
      <c r="F25" s="281" t="s">
        <v>237</v>
      </c>
      <c r="G25" s="282" t="s">
        <v>272</v>
      </c>
      <c r="H25" s="282"/>
      <c r="I25" s="286"/>
      <c r="J25" s="106" t="str">
        <f>VLOOKUP(K25,radky_R!A:O,15,0)</f>
        <v>Výsledek hospodaření minulých let +/-      (ř. 96 až 98)</v>
      </c>
      <c r="K25" s="147">
        <v>95</v>
      </c>
      <c r="L25" s="98">
        <f>IF($D25="calc",ROUND(-SUMIFS(data!$Y:$Y,data!$C:$C,INDEX!$D$11,data!$N:$N,$B25,data!$S:$S,$K25),0)+O25,SUMIFS(L:L,$C:$C,$D25))</f>
        <v>0</v>
      </c>
      <c r="M25" s="107">
        <f>IF($D25="calc",ROUND(-SUMIFS(data!$Y:$Y,data!$C:$C,INDEX!$E$11,data!$N:$N,$B25,data!$S:$S,$K25),0)+P25,SUMIFS(M:M,$C:$C,$D25))</f>
        <v>0</v>
      </c>
      <c r="N25" s="11"/>
      <c r="O25" s="217"/>
      <c r="P25" s="217"/>
    </row>
    <row r="26" spans="1:16" ht="26.25" x14ac:dyDescent="0.2">
      <c r="A26" s="520">
        <v>-1</v>
      </c>
      <c r="B26" s="521" t="s">
        <v>515</v>
      </c>
      <c r="C26" s="520" t="s">
        <v>792</v>
      </c>
      <c r="D26" s="520" t="s">
        <v>747</v>
      </c>
      <c r="E26" s="523"/>
      <c r="F26" s="366" t="s">
        <v>237</v>
      </c>
      <c r="G26" s="367" t="s">
        <v>272</v>
      </c>
      <c r="H26" s="367" t="s">
        <v>240</v>
      </c>
      <c r="I26" s="368"/>
      <c r="J26" s="100" t="str">
        <f>VLOOKUP(K26,radky_R!A:O,15,0)</f>
        <v>Nerozdělený zisk minulých let +</v>
      </c>
      <c r="K26" s="160">
        <v>96</v>
      </c>
      <c r="L26" s="101">
        <f>IF($D26="calc",ROUND(-SUMIFS(data!$Y:$Y,data!$C:$C,INDEX!$D$11,data!$N:$N,$B26,data!$S:$S,$K26),0)+O26,SUMIFS(L:L,$C:$C,$D26))</f>
        <v>0</v>
      </c>
      <c r="M26" s="102">
        <f>IF($D26="calc",ROUND(-SUMIFS(data!$Y:$Y,data!$C:$C,INDEX!$E$11,data!$N:$N,$B26,data!$S:$S,$K26),0)+P26,SUMIFS(M:M,$C:$C,$D26))</f>
        <v>0</v>
      </c>
      <c r="N26" s="554" t="s">
        <v>616</v>
      </c>
      <c r="O26" s="208"/>
      <c r="P26" s="208"/>
    </row>
    <row r="27" spans="1:16" ht="26.25" customHeight="1" x14ac:dyDescent="0.2">
      <c r="A27" s="520">
        <v>-1</v>
      </c>
      <c r="B27" s="521" t="s">
        <v>515</v>
      </c>
      <c r="C27" s="520" t="s">
        <v>792</v>
      </c>
      <c r="D27" s="520" t="s">
        <v>747</v>
      </c>
      <c r="E27" s="523"/>
      <c r="F27" s="366" t="s">
        <v>237</v>
      </c>
      <c r="G27" s="367" t="s">
        <v>272</v>
      </c>
      <c r="H27" s="367" t="s">
        <v>241</v>
      </c>
      <c r="I27" s="368"/>
      <c r="J27" s="100" t="str">
        <f>VLOOKUP(K27,radky_R!A:O,15,0)</f>
        <v>Neuhrazená ztráta minulých let -</v>
      </c>
      <c r="K27" s="160">
        <v>97</v>
      </c>
      <c r="L27" s="101">
        <f>IF($D27="calc",ROUND(-SUMIFS(data!$Y:$Y,data!$C:$C,INDEX!$D$11,data!$N:$N,$B27,data!$S:$S,$K27),0)+O27,SUMIFS(L:L,$C:$C,$D27))</f>
        <v>0</v>
      </c>
      <c r="M27" s="102">
        <f>IF($D27="calc",ROUND(-SUMIFS(data!$Y:$Y,data!$C:$C,INDEX!$E$11,data!$N:$N,$B27,data!$S:$S,$K27),0)+P27,SUMIFS(M:M,$C:$C,$D27))</f>
        <v>0</v>
      </c>
      <c r="N27" s="554"/>
      <c r="O27" s="208"/>
      <c r="P27" s="208"/>
    </row>
    <row r="28" spans="1:16" ht="26.25" x14ac:dyDescent="0.2">
      <c r="A28" s="520">
        <v>-1</v>
      </c>
      <c r="B28" s="521" t="s">
        <v>515</v>
      </c>
      <c r="C28" s="520" t="s">
        <v>792</v>
      </c>
      <c r="D28" s="520" t="s">
        <v>747</v>
      </c>
      <c r="E28" s="523"/>
      <c r="F28" s="366" t="s">
        <v>237</v>
      </c>
      <c r="G28" s="367" t="s">
        <v>272</v>
      </c>
      <c r="H28" s="367" t="s">
        <v>242</v>
      </c>
      <c r="I28" s="368"/>
      <c r="J28" s="100" t="str">
        <f>VLOOKUP(K28,radky_R!A:O,15,0)</f>
        <v>Jiný výsledek hospodaření minulých let</v>
      </c>
      <c r="K28" s="160">
        <v>98</v>
      </c>
      <c r="L28" s="101">
        <f>IF($D28="calc",ROUND(-SUMIFS(data!$Y:$Y,data!$C:$C,INDEX!$D$11,data!$N:$N,$B28,data!$S:$S,$K28),0)+O28,SUMIFS(L:L,$C:$C,$D28))</f>
        <v>0</v>
      </c>
      <c r="M28" s="102">
        <f>IF($D28="calc",ROUND(-SUMIFS(data!$Y:$Y,data!$C:$C,INDEX!$E$11,data!$N:$N,$B28,data!$S:$S,$K28),0)+P28,SUMIFS(M:M,$C:$C,$D28))</f>
        <v>0</v>
      </c>
      <c r="N28" s="554"/>
      <c r="O28" s="208"/>
      <c r="P28" s="208"/>
    </row>
    <row r="29" spans="1:16" ht="26.25" x14ac:dyDescent="0.2">
      <c r="A29" s="520">
        <v>-1</v>
      </c>
      <c r="B29" s="521" t="s">
        <v>515</v>
      </c>
      <c r="C29" s="520" t="s">
        <v>237</v>
      </c>
      <c r="D29" s="530" t="s">
        <v>793</v>
      </c>
      <c r="E29" s="523"/>
      <c r="F29" s="281" t="s">
        <v>237</v>
      </c>
      <c r="G29" s="282" t="s">
        <v>280</v>
      </c>
      <c r="H29" s="282"/>
      <c r="I29" s="286"/>
      <c r="J29" s="106" t="str">
        <f>VLOOKUP(K29,radky_R!A:O,15,0)</f>
        <v>Výsledek hospodaření běžného účetního období +/-</v>
      </c>
      <c r="K29" s="147">
        <v>99</v>
      </c>
      <c r="L29" s="98">
        <f>VYSLEDOVKA!M62</f>
        <v>0</v>
      </c>
      <c r="M29" s="107">
        <f>VYSLEDOVKA!N62</f>
        <v>0</v>
      </c>
      <c r="N29" s="554"/>
      <c r="O29" s="217"/>
      <c r="P29" s="217"/>
    </row>
    <row r="30" spans="1:16" ht="27" thickBot="1" x14ac:dyDescent="0.25">
      <c r="A30" s="520">
        <v>-1</v>
      </c>
      <c r="B30" s="521" t="s">
        <v>515</v>
      </c>
      <c r="C30" s="520" t="s">
        <v>237</v>
      </c>
      <c r="D30" s="520" t="s">
        <v>747</v>
      </c>
      <c r="E30" s="523"/>
      <c r="F30" s="402" t="s">
        <v>237</v>
      </c>
      <c r="G30" s="403" t="s">
        <v>322</v>
      </c>
      <c r="H30" s="403"/>
      <c r="I30" s="404"/>
      <c r="J30" s="405" t="str">
        <f>VLOOKUP(K30,radky_R!A:O,15,0)</f>
        <v>Rozhodnuto o zálohové výplatě podílu na zisku</v>
      </c>
      <c r="K30" s="406">
        <v>100</v>
      </c>
      <c r="L30" s="407">
        <f>IF($D30="calc",ROUND(-SUMIFS(data!$Y:$Y,data!$C:$C,INDEX!$D$11,data!$N:$N,$B30,data!$S:$S,$K30),0)+O30,SUMIFS(L:L,$C:$C,$D30))</f>
        <v>0</v>
      </c>
      <c r="M30" s="408">
        <f>IF($D30="calc",ROUND(-SUMIFS(data!$Y:$Y,data!$C:$C,INDEX!$E$11,data!$N:$N,$B30,data!$S:$S,$K30),0)+P30,SUMIFS(M:M,$C:$C,$D30))</f>
        <v>0</v>
      </c>
      <c r="N30" s="554"/>
      <c r="O30" s="217"/>
      <c r="P30" s="217"/>
    </row>
    <row r="31" spans="1:16" ht="27" thickBot="1" x14ac:dyDescent="0.25">
      <c r="A31" s="520">
        <v>-1</v>
      </c>
      <c r="B31" s="521" t="s">
        <v>515</v>
      </c>
      <c r="C31" s="520" t="s">
        <v>788</v>
      </c>
      <c r="D31" s="520" t="s">
        <v>794</v>
      </c>
      <c r="E31" s="523"/>
      <c r="F31" s="392" t="s">
        <v>238</v>
      </c>
      <c r="G31" s="393" t="s">
        <v>309</v>
      </c>
      <c r="H31" s="393" t="s">
        <v>264</v>
      </c>
      <c r="I31" s="394"/>
      <c r="J31" s="330" t="str">
        <f>VLOOKUP(K31,radky_R!A:O,15,0)</f>
        <v>Cizí zdroje      (ř. 102 + 107)</v>
      </c>
      <c r="K31" s="331">
        <v>101</v>
      </c>
      <c r="L31" s="362">
        <f>IF($D31="calc",ROUND(-SUMIFS(data!$Y:$Y,data!$C:$C,INDEX!$D$11,data!$N:$N,$B31,data!$S:$S,$K31),0)+O31,SUMIFS(L:L,$C:$C,$D31))</f>
        <v>0</v>
      </c>
      <c r="M31" s="363">
        <f>IF($D31="calc",ROUND(-SUMIFS(data!$Y:$Y,data!$C:$C,INDEX!$E$11,data!$N:$N,$B31,data!$S:$S,$K31),0)+P31,SUMIFS(M:M,$C:$C,$D31))</f>
        <v>0</v>
      </c>
      <c r="N31" s="11"/>
      <c r="O31" s="217"/>
      <c r="P31" s="217"/>
    </row>
    <row r="32" spans="1:16" ht="26.25" x14ac:dyDescent="0.2">
      <c r="A32" s="520">
        <v>-1</v>
      </c>
      <c r="B32" s="521" t="s">
        <v>515</v>
      </c>
      <c r="C32" s="520" t="s">
        <v>794</v>
      </c>
      <c r="D32" s="520" t="s">
        <v>238</v>
      </c>
      <c r="E32" s="523"/>
      <c r="F32" s="141" t="s">
        <v>238</v>
      </c>
      <c r="G32" s="142"/>
      <c r="H32" s="142"/>
      <c r="I32" s="391"/>
      <c r="J32" s="130" t="str">
        <f>VLOOKUP(K32,radky_R!A:O,15,0)</f>
        <v>Rezervy      (ř. 103 až 106)</v>
      </c>
      <c r="K32" s="144">
        <v>102</v>
      </c>
      <c r="L32" s="364">
        <f>IF($D32="calc",ROUND(-SUMIFS(data!$Y:$Y,data!$C:$C,INDEX!$D$11,data!$N:$N,$B32,data!$S:$S,$K32),0)+O32,SUMIFS(L:L,$C:$C,$D32))</f>
        <v>0</v>
      </c>
      <c r="M32" s="365">
        <f>IF($D32="calc",ROUND(-SUMIFS(data!$Y:$Y,data!$C:$C,INDEX!$E$11,data!$N:$N,$B32,data!$S:$S,$K32),0)+P32,SUMIFS(M:M,$C:$C,$D32))</f>
        <v>0</v>
      </c>
      <c r="N32" s="11"/>
      <c r="O32" s="217"/>
      <c r="P32" s="217"/>
    </row>
    <row r="33" spans="1:16" ht="26.25" x14ac:dyDescent="0.2">
      <c r="A33" s="520">
        <v>-1</v>
      </c>
      <c r="B33" s="521" t="s">
        <v>515</v>
      </c>
      <c r="C33" s="520" t="s">
        <v>238</v>
      </c>
      <c r="D33" s="520" t="s">
        <v>747</v>
      </c>
      <c r="E33" s="523"/>
      <c r="F33" s="366" t="s">
        <v>238</v>
      </c>
      <c r="G33" s="367" t="s">
        <v>240</v>
      </c>
      <c r="H33" s="367"/>
      <c r="I33" s="368"/>
      <c r="J33" s="100" t="str">
        <f>VLOOKUP(K33,radky_R!A:O,15,0)</f>
        <v>Rezerva na důchody a podobné závazky</v>
      </c>
      <c r="K33" s="576">
        <v>103</v>
      </c>
      <c r="L33" s="101">
        <f>IF($D33="calc",ROUND(-SUMIFS(data!$Y:$Y,data!$C:$C,INDEX!$D$11,data!$N:$N,$B33,data!$S:$S,$K33),0)+O33,SUMIFS(L:L,$C:$C,$D33))</f>
        <v>0</v>
      </c>
      <c r="M33" s="102">
        <f>IF($D33="calc",ROUND(-SUMIFS(data!$Y:$Y,data!$C:$C,INDEX!$E$11,data!$N:$N,$B33,data!$S:$S,$K33),0)+P33,SUMIFS(M:M,$C:$C,$D33))</f>
        <v>0</v>
      </c>
      <c r="N33" s="11"/>
      <c r="O33" s="208"/>
      <c r="P33" s="208"/>
    </row>
    <row r="34" spans="1:16" ht="26.25" x14ac:dyDescent="0.2">
      <c r="A34" s="520">
        <v>-1</v>
      </c>
      <c r="B34" s="521" t="s">
        <v>515</v>
      </c>
      <c r="C34" s="520" t="s">
        <v>238</v>
      </c>
      <c r="D34" s="520" t="s">
        <v>747</v>
      </c>
      <c r="E34" s="523"/>
      <c r="F34" s="366" t="s">
        <v>238</v>
      </c>
      <c r="G34" s="367" t="s">
        <v>241</v>
      </c>
      <c r="H34" s="367"/>
      <c r="I34" s="368"/>
      <c r="J34" s="100" t="str">
        <f>VLOOKUP(K34,radky_R!A:O,15,0)</f>
        <v>Rezerva na daň z příjmů</v>
      </c>
      <c r="K34" s="576">
        <v>104</v>
      </c>
      <c r="L34" s="101">
        <f>IF($D34="calc",ROUND(-SUMIFS(data!$Y:$Y,data!$C:$C,INDEX!$D$11,data!$N:$N,$B34,data!$S:$S,$K34),0)+O34,SUMIFS(L:L,$C:$C,$D34))</f>
        <v>0</v>
      </c>
      <c r="M34" s="102">
        <f>IF($D34="calc",ROUND(-SUMIFS(data!$Y:$Y,data!$C:$C,INDEX!$E$11,data!$N:$N,$B34,data!$S:$S,$K34),0)+P34,SUMIFS(M:M,$C:$C,$D34))</f>
        <v>0</v>
      </c>
      <c r="N34" s="11"/>
      <c r="O34" s="208"/>
      <c r="P34" s="208"/>
    </row>
    <row r="35" spans="1:16" ht="26.25" x14ac:dyDescent="0.2">
      <c r="A35" s="520">
        <v>-1</v>
      </c>
      <c r="B35" s="521" t="s">
        <v>515</v>
      </c>
      <c r="C35" s="520" t="s">
        <v>238</v>
      </c>
      <c r="D35" s="520" t="s">
        <v>747</v>
      </c>
      <c r="E35" s="523"/>
      <c r="F35" s="366" t="s">
        <v>238</v>
      </c>
      <c r="G35" s="367" t="s">
        <v>242</v>
      </c>
      <c r="H35" s="367"/>
      <c r="I35" s="368"/>
      <c r="J35" s="100" t="str">
        <f>VLOOKUP(K35,radky_R!A:O,15,0)</f>
        <v>Rezervy podle zvláštních právních předpisů</v>
      </c>
      <c r="K35" s="576">
        <v>105</v>
      </c>
      <c r="L35" s="101">
        <f>IF($D35="calc",ROUND(-SUMIFS(data!$Y:$Y,data!$C:$C,INDEX!$D$11,data!$N:$N,$B35,data!$S:$S,$K35),0)+O35,SUMIFS(L:L,$C:$C,$D35))</f>
        <v>0</v>
      </c>
      <c r="M35" s="102">
        <f>IF($D35="calc",ROUND(-SUMIFS(data!$Y:$Y,data!$C:$C,INDEX!$E$11,data!$N:$N,$B35,data!$S:$S,$K35),0)+P35,SUMIFS(M:M,$C:$C,$D35))</f>
        <v>0</v>
      </c>
      <c r="N35" s="11"/>
      <c r="O35" s="208"/>
      <c r="P35" s="208"/>
    </row>
    <row r="36" spans="1:16" ht="27" thickBot="1" x14ac:dyDescent="0.25">
      <c r="A36" s="520">
        <v>-1</v>
      </c>
      <c r="B36" s="521" t="s">
        <v>515</v>
      </c>
      <c r="C36" s="520" t="s">
        <v>238</v>
      </c>
      <c r="D36" s="520" t="s">
        <v>747</v>
      </c>
      <c r="E36" s="523"/>
      <c r="F36" s="366" t="s">
        <v>238</v>
      </c>
      <c r="G36" s="367" t="s">
        <v>243</v>
      </c>
      <c r="H36" s="367"/>
      <c r="I36" s="368"/>
      <c r="J36" s="100" t="str">
        <f>VLOOKUP(K36,radky_R!A:O,15,0)</f>
        <v>Ostatní rezervy</v>
      </c>
      <c r="K36" s="576">
        <v>106</v>
      </c>
      <c r="L36" s="101">
        <f>IF($D36="calc",ROUND(-SUMIFS(data!$Y:$Y,data!$C:$C,INDEX!$D$11,data!$N:$N,$B36,data!$S:$S,$K36),0)+O36,SUMIFS(L:L,$C:$C,$D36))</f>
        <v>0</v>
      </c>
      <c r="M36" s="102">
        <f>IF($D36="calc",ROUND(-SUMIFS(data!$Y:$Y,data!$C:$C,INDEX!$E$11,data!$N:$N,$B36,data!$S:$S,$K36),0)+P36,SUMIFS(M:M,$C:$C,$D36))</f>
        <v>0</v>
      </c>
      <c r="N36" s="11"/>
      <c r="O36" s="208"/>
      <c r="P36" s="208"/>
    </row>
    <row r="37" spans="1:16" ht="26.25" x14ac:dyDescent="0.2">
      <c r="A37" s="520">
        <v>-1</v>
      </c>
      <c r="B37" s="521" t="s">
        <v>515</v>
      </c>
      <c r="C37" s="520" t="s">
        <v>794</v>
      </c>
      <c r="D37" s="520" t="s">
        <v>264</v>
      </c>
      <c r="E37" s="523"/>
      <c r="F37" s="141" t="s">
        <v>264</v>
      </c>
      <c r="G37" s="142"/>
      <c r="H37" s="142"/>
      <c r="I37" s="391"/>
      <c r="J37" s="130" t="str">
        <f>VLOOKUP(K37,radky_R!A:O,15,0)</f>
        <v>Závazky      (ř. 108 + 123)</v>
      </c>
      <c r="K37" s="144">
        <v>107</v>
      </c>
      <c r="L37" s="364">
        <f>IF($D37="calc",ROUND(-SUMIFS(data!$Y:$Y,data!$C:$C,INDEX!$D$11,data!$N:$N,$B37,data!$S:$S,$K37),0)+O37,SUMIFS(L:L,$C:$C,$D37))</f>
        <v>0</v>
      </c>
      <c r="M37" s="365">
        <f>IF($D37="calc",ROUND(-SUMIFS(data!$Y:$Y,data!$C:$C,INDEX!$E$11,data!$N:$N,$B37,data!$S:$S,$K37),0)+P37,SUMIFS(M:M,$C:$C,$D37))</f>
        <v>0</v>
      </c>
      <c r="N37" s="11"/>
      <c r="O37" s="217"/>
      <c r="P37" s="217"/>
    </row>
    <row r="38" spans="1:16" ht="26.25" x14ac:dyDescent="0.2">
      <c r="A38" s="520">
        <v>-1</v>
      </c>
      <c r="B38" s="521" t="s">
        <v>515</v>
      </c>
      <c r="C38" s="520" t="s">
        <v>264</v>
      </c>
      <c r="D38" s="520" t="s">
        <v>769</v>
      </c>
      <c r="E38" s="523"/>
      <c r="F38" s="281" t="s">
        <v>264</v>
      </c>
      <c r="G38" s="282" t="s">
        <v>239</v>
      </c>
      <c r="H38" s="282"/>
      <c r="I38" s="286"/>
      <c r="J38" s="106" t="str">
        <f>VLOOKUP(K38,radky_R!A:O,15,0)</f>
        <v>Dlouhodobé závazky      (ř. 109 + 112 až 119)</v>
      </c>
      <c r="K38" s="147">
        <v>108</v>
      </c>
      <c r="L38" s="98">
        <f>IF($D38="calc",ROUND(-SUMIFS(data!$Y:$Y,data!$C:$C,INDEX!$D$11,data!$N:$N,$B38,data!$S:$S,$K38),0)+O38,SUMIFS(L:L,$C:$C,$D38))</f>
        <v>0</v>
      </c>
      <c r="M38" s="107">
        <f>IF($D38="calc",ROUND(-SUMIFS(data!$Y:$Y,data!$C:$C,INDEX!$E$11,data!$N:$N,$B38,data!$S:$S,$K38),0)+P38,SUMIFS(M:M,$C:$C,$D38))</f>
        <v>0</v>
      </c>
      <c r="N38" s="11"/>
      <c r="O38" s="217"/>
      <c r="P38" s="217"/>
    </row>
    <row r="39" spans="1:16" ht="26.25" x14ac:dyDescent="0.2">
      <c r="A39" s="520">
        <v>-1</v>
      </c>
      <c r="B39" s="521" t="s">
        <v>515</v>
      </c>
      <c r="C39" s="520" t="s">
        <v>769</v>
      </c>
      <c r="D39" s="520" t="s">
        <v>795</v>
      </c>
      <c r="E39" s="523"/>
      <c r="F39" s="366" t="s">
        <v>264</v>
      </c>
      <c r="G39" s="367" t="s">
        <v>239</v>
      </c>
      <c r="H39" s="367" t="s">
        <v>240</v>
      </c>
      <c r="I39" s="368"/>
      <c r="J39" s="100" t="str">
        <f>VLOOKUP(K39,radky_R!A:O,15,0)</f>
        <v>Vydané dluhopisy</v>
      </c>
      <c r="K39" s="576">
        <v>109</v>
      </c>
      <c r="L39" s="101">
        <f>IF($D39="calc",ROUND(-SUMIFS(data!$Y:$Y,data!$C:$C,INDEX!$D$11,data!$N:$N,$B39,data!$S:$S,$K39),0)+O39,SUMIFS(L:L,$C:$C,$D39))</f>
        <v>0</v>
      </c>
      <c r="M39" s="102">
        <f>IF($D39="calc",ROUND(-SUMIFS(data!$Y:$Y,data!$C:$C,INDEX!$E$11,data!$N:$N,$B39,data!$S:$S,$K39),0)+P39,SUMIFS(M:M,$C:$C,$D39))</f>
        <v>0</v>
      </c>
      <c r="N39" s="11"/>
      <c r="O39" s="217"/>
      <c r="P39" s="217"/>
    </row>
    <row r="40" spans="1:16" s="296" customFormat="1" ht="26.25" x14ac:dyDescent="0.2">
      <c r="A40" s="527">
        <v>-1</v>
      </c>
      <c r="B40" s="528" t="s">
        <v>515</v>
      </c>
      <c r="C40" s="520" t="s">
        <v>795</v>
      </c>
      <c r="D40" s="527" t="s">
        <v>747</v>
      </c>
      <c r="E40" s="529"/>
      <c r="F40" s="378"/>
      <c r="G40" s="376"/>
      <c r="H40" s="377"/>
      <c r="I40" s="377" t="s">
        <v>240</v>
      </c>
      <c r="J40" s="385" t="str">
        <f>VLOOKUP(K40,radky_R!A:O,15,0)</f>
        <v>Vyměnitelné dluhopisy</v>
      </c>
      <c r="K40" s="578">
        <v>110</v>
      </c>
      <c r="L40" s="531">
        <f>IF($D40="calc",ROUND(-SUMIFS(data!$Y:$Y,data!$C:$C,INDEX!$D$11,data!$N:$N,$B40,data!$S:$S,$K40),0)+O40,SUMIFS(L:L,$C:$C,$D40))</f>
        <v>0</v>
      </c>
      <c r="M40" s="532">
        <f>IF($D40="calc",ROUND(-SUMIFS(data!$Y:$Y,data!$C:$C,INDEX!$E$11,data!$N:$N,$B40,data!$S:$S,$K40),0)+P40,SUMIFS(M:M,$C:$C,$D40))</f>
        <v>0</v>
      </c>
      <c r="O40" s="297"/>
      <c r="P40" s="297"/>
    </row>
    <row r="41" spans="1:16" s="296" customFormat="1" ht="26.25" x14ac:dyDescent="0.2">
      <c r="A41" s="527">
        <v>-1</v>
      </c>
      <c r="B41" s="528" t="s">
        <v>515</v>
      </c>
      <c r="C41" s="520" t="s">
        <v>795</v>
      </c>
      <c r="D41" s="527" t="s">
        <v>747</v>
      </c>
      <c r="E41" s="529"/>
      <c r="F41" s="388"/>
      <c r="G41" s="377"/>
      <c r="H41" s="377"/>
      <c r="I41" s="377" t="s">
        <v>241</v>
      </c>
      <c r="J41" s="389" t="str">
        <f>VLOOKUP(K41,radky_R!A:O,15,0)</f>
        <v>Ostatní dluhopisy</v>
      </c>
      <c r="K41" s="579">
        <v>111</v>
      </c>
      <c r="L41" s="533">
        <f>IF($D41="calc",ROUND(-SUMIFS(data!$Y:$Y,data!$C:$C,INDEX!$D$11,data!$N:$N,$B41,data!$S:$S,$K41),0)+O41,SUMIFS(L:L,$C:$C,$D41))</f>
        <v>0</v>
      </c>
      <c r="M41" s="534">
        <f>IF($D41="calc",ROUND(-SUMIFS(data!$Y:$Y,data!$C:$C,INDEX!$E$11,data!$N:$N,$B41,data!$S:$S,$K41),0)+P41,SUMIFS(M:M,$C:$C,$D41))</f>
        <v>0</v>
      </c>
      <c r="O41" s="387"/>
      <c r="P41" s="387"/>
    </row>
    <row r="42" spans="1:16" ht="26.25" x14ac:dyDescent="0.2">
      <c r="A42" s="520">
        <v>-1</v>
      </c>
      <c r="B42" s="521" t="s">
        <v>515</v>
      </c>
      <c r="C42" s="520" t="s">
        <v>769</v>
      </c>
      <c r="D42" s="520" t="s">
        <v>747</v>
      </c>
      <c r="E42" s="523"/>
      <c r="F42" s="366" t="s">
        <v>264</v>
      </c>
      <c r="G42" s="367" t="s">
        <v>239</v>
      </c>
      <c r="H42" s="367" t="s">
        <v>241</v>
      </c>
      <c r="I42" s="368"/>
      <c r="J42" s="100" t="str">
        <f>VLOOKUP(K42,radky_R!A:O,15,0)</f>
        <v>Závazky k úvěrovým institucím</v>
      </c>
      <c r="K42" s="576">
        <v>112</v>
      </c>
      <c r="L42" s="101">
        <f>IF($D42="calc",ROUND(-SUMIFS(data!$Y:$Y,data!$C:$C,INDEX!$D$11,data!$N:$N,$B42,data!$S:$S,$K42),0)+O42,SUMIFS(L:L,$C:$C,$D42))</f>
        <v>0</v>
      </c>
      <c r="M42" s="102">
        <f>IF($D42="calc",ROUND(-SUMIFS(data!$Y:$Y,data!$C:$C,INDEX!$E$11,data!$N:$N,$B42,data!$S:$S,$K42),0)+P42,SUMIFS(M:M,$C:$C,$D42))</f>
        <v>0</v>
      </c>
      <c r="N42" s="11"/>
      <c r="O42" s="208"/>
      <c r="P42" s="208"/>
    </row>
    <row r="43" spans="1:16" ht="26.25" x14ac:dyDescent="0.2">
      <c r="A43" s="520">
        <v>-1</v>
      </c>
      <c r="B43" s="521" t="s">
        <v>515</v>
      </c>
      <c r="C43" s="520" t="s">
        <v>769</v>
      </c>
      <c r="D43" s="520" t="s">
        <v>747</v>
      </c>
      <c r="E43" s="523"/>
      <c r="F43" s="366" t="s">
        <v>264</v>
      </c>
      <c r="G43" s="367" t="s">
        <v>239</v>
      </c>
      <c r="H43" s="367" t="s">
        <v>242</v>
      </c>
      <c r="I43" s="368"/>
      <c r="J43" s="100" t="str">
        <f>VLOOKUP(K43,radky_R!A:O,15,0)</f>
        <v>Dlouhodobé přijaté zálohy</v>
      </c>
      <c r="K43" s="576">
        <v>113</v>
      </c>
      <c r="L43" s="101">
        <f>IF($D43="calc",ROUND(-SUMIFS(data!$Y:$Y,data!$C:$C,INDEX!$D$11,data!$N:$N,$B43,data!$S:$S,$K43),0)+O43,SUMIFS(L:L,$C:$C,$D43))</f>
        <v>0</v>
      </c>
      <c r="M43" s="102">
        <f>IF($D43="calc",ROUND(-SUMIFS(data!$Y:$Y,data!$C:$C,INDEX!$E$11,data!$N:$N,$B43,data!$S:$S,$K43),0)+P43,SUMIFS(M:M,$C:$C,$D43))</f>
        <v>0</v>
      </c>
      <c r="N43" s="11"/>
      <c r="O43" s="208"/>
      <c r="P43" s="208"/>
    </row>
    <row r="44" spans="1:16" ht="26.25" x14ac:dyDescent="0.2">
      <c r="A44" s="520">
        <v>-1</v>
      </c>
      <c r="B44" s="521" t="s">
        <v>515</v>
      </c>
      <c r="C44" s="520" t="s">
        <v>769</v>
      </c>
      <c r="D44" s="520" t="s">
        <v>747</v>
      </c>
      <c r="E44" s="523"/>
      <c r="F44" s="366" t="s">
        <v>264</v>
      </c>
      <c r="G44" s="367" t="s">
        <v>239</v>
      </c>
      <c r="H44" s="367" t="s">
        <v>243</v>
      </c>
      <c r="I44" s="368"/>
      <c r="J44" s="100" t="str">
        <f>VLOOKUP(K44,radky_R!A:O,15,0)</f>
        <v>Závazky z obchodních vztahů</v>
      </c>
      <c r="K44" s="576">
        <v>114</v>
      </c>
      <c r="L44" s="101">
        <f>IF($D44="calc",ROUND(-SUMIFS(data!$Y:$Y,data!$C:$C,INDEX!$D$11,data!$N:$N,$B44,data!$S:$S,$K44),0)+O44,SUMIFS(L:L,$C:$C,$D44))</f>
        <v>0</v>
      </c>
      <c r="M44" s="102">
        <f>IF($D44="calc",ROUND(-SUMIFS(data!$Y:$Y,data!$C:$C,INDEX!$E$11,data!$N:$N,$B44,data!$S:$S,$K44),0)+P44,SUMIFS(M:M,$C:$C,$D44))</f>
        <v>0</v>
      </c>
      <c r="N44" s="11"/>
      <c r="O44" s="208"/>
      <c r="P44" s="208"/>
    </row>
    <row r="45" spans="1:16" ht="26.25" x14ac:dyDescent="0.2">
      <c r="A45" s="520">
        <v>-1</v>
      </c>
      <c r="B45" s="521" t="s">
        <v>515</v>
      </c>
      <c r="C45" s="520" t="s">
        <v>769</v>
      </c>
      <c r="D45" s="520" t="s">
        <v>747</v>
      </c>
      <c r="E45" s="523"/>
      <c r="F45" s="366" t="s">
        <v>264</v>
      </c>
      <c r="G45" s="367" t="s">
        <v>239</v>
      </c>
      <c r="H45" s="367" t="s">
        <v>244</v>
      </c>
      <c r="I45" s="368"/>
      <c r="J45" s="100" t="str">
        <f>VLOOKUP(K45,radky_R!A:O,15,0)</f>
        <v>Dlouhodobé směnky k úhradě</v>
      </c>
      <c r="K45" s="576">
        <v>115</v>
      </c>
      <c r="L45" s="101">
        <f>IF($D45="calc",ROUND(-SUMIFS(data!$Y:$Y,data!$C:$C,INDEX!$D$11,data!$N:$N,$B45,data!$S:$S,$K45),0)+O45,SUMIFS(L:L,$C:$C,$D45))</f>
        <v>0</v>
      </c>
      <c r="M45" s="102">
        <f>IF($D45="calc",ROUND(-SUMIFS(data!$Y:$Y,data!$C:$C,INDEX!$E$11,data!$N:$N,$B45,data!$S:$S,$K45),0)+P45,SUMIFS(M:M,$C:$C,$D45))</f>
        <v>0</v>
      </c>
      <c r="N45" s="11"/>
      <c r="O45" s="208"/>
      <c r="P45" s="208"/>
    </row>
    <row r="46" spans="1:16" ht="26.25" x14ac:dyDescent="0.2">
      <c r="A46" s="520">
        <v>-1</v>
      </c>
      <c r="B46" s="521" t="s">
        <v>515</v>
      </c>
      <c r="C46" s="520" t="s">
        <v>769</v>
      </c>
      <c r="D46" s="520" t="s">
        <v>747</v>
      </c>
      <c r="E46" s="523"/>
      <c r="F46" s="366" t="s">
        <v>264</v>
      </c>
      <c r="G46" s="367" t="s">
        <v>239</v>
      </c>
      <c r="H46" s="367" t="s">
        <v>245</v>
      </c>
      <c r="I46" s="368"/>
      <c r="J46" s="100" t="str">
        <f>VLOOKUP(K46,radky_R!A:O,15,0)</f>
        <v>Závazky - ovládaná nebo ovládající osoba</v>
      </c>
      <c r="K46" s="576">
        <v>116</v>
      </c>
      <c r="L46" s="101">
        <f>IF($D46="calc",ROUND(-SUMIFS(data!$Y:$Y,data!$C:$C,INDEX!$D$11,data!$N:$N,$B46,data!$S:$S,$K46),0)+O46,SUMIFS(L:L,$C:$C,$D46))</f>
        <v>0</v>
      </c>
      <c r="M46" s="102">
        <f>IF($D46="calc",ROUND(-SUMIFS(data!$Y:$Y,data!$C:$C,INDEX!$E$11,data!$N:$N,$B46,data!$S:$S,$K46),0)+P46,SUMIFS(M:M,$C:$C,$D46))</f>
        <v>0</v>
      </c>
      <c r="N46" s="11"/>
      <c r="O46" s="208"/>
      <c r="P46" s="208"/>
    </row>
    <row r="47" spans="1:16" ht="26.25" x14ac:dyDescent="0.2">
      <c r="A47" s="520">
        <v>-1</v>
      </c>
      <c r="B47" s="521" t="s">
        <v>515</v>
      </c>
      <c r="C47" s="520" t="s">
        <v>769</v>
      </c>
      <c r="D47" s="520" t="s">
        <v>747</v>
      </c>
      <c r="E47" s="523"/>
      <c r="F47" s="366" t="s">
        <v>264</v>
      </c>
      <c r="G47" s="367" t="s">
        <v>239</v>
      </c>
      <c r="H47" s="367" t="s">
        <v>246</v>
      </c>
      <c r="I47" s="368"/>
      <c r="J47" s="100" t="str">
        <f>VLOOKUP(K47,radky_R!A:O,15,0)</f>
        <v>Závazky - podstatný vliv</v>
      </c>
      <c r="K47" s="576">
        <v>117</v>
      </c>
      <c r="L47" s="101">
        <f>IF($D47="calc",ROUND(-SUMIFS(data!$Y:$Y,data!$C:$C,INDEX!$D$11,data!$N:$N,$B47,data!$S:$S,$K47),0)+O47,SUMIFS(L:L,$C:$C,$D47))</f>
        <v>0</v>
      </c>
      <c r="M47" s="102">
        <f>IF($D47="calc",ROUND(-SUMIFS(data!$Y:$Y,data!$C:$C,INDEX!$E$11,data!$N:$N,$B47,data!$S:$S,$K47),0)+P47,SUMIFS(M:M,$C:$C,$D47))</f>
        <v>0</v>
      </c>
      <c r="N47" s="11"/>
      <c r="O47" s="208"/>
      <c r="P47" s="208"/>
    </row>
    <row r="48" spans="1:16" ht="26.25" x14ac:dyDescent="0.2">
      <c r="A48" s="520">
        <v>-1</v>
      </c>
      <c r="B48" s="521" t="s">
        <v>515</v>
      </c>
      <c r="C48" s="520" t="s">
        <v>769</v>
      </c>
      <c r="D48" s="520" t="s">
        <v>747</v>
      </c>
      <c r="E48" s="523"/>
      <c r="F48" s="366" t="s">
        <v>264</v>
      </c>
      <c r="G48" s="367" t="s">
        <v>239</v>
      </c>
      <c r="H48" s="367" t="s">
        <v>247</v>
      </c>
      <c r="I48" s="368"/>
      <c r="J48" s="100" t="str">
        <f>VLOOKUP(K48,radky_R!A:O,15,0)</f>
        <v>Odložený daňový závazek</v>
      </c>
      <c r="K48" s="576">
        <v>118</v>
      </c>
      <c r="L48" s="101">
        <f>IF($D48="calc",ROUND(-SUMIFS(data!$Y:$Y,data!$C:$C,INDEX!$D$11,data!$N:$N,$B48,data!$S:$S,$K48),0)+O48,SUMIFS(L:L,$C:$C,$D48))</f>
        <v>0</v>
      </c>
      <c r="M48" s="102">
        <f>IF($D48="calc",ROUND(-SUMIFS(data!$Y:$Y,data!$C:$C,INDEX!$E$11,data!$N:$N,$B48,data!$S:$S,$K48),0)+P48,SUMIFS(M:M,$C:$C,$D48))</f>
        <v>0</v>
      </c>
      <c r="N48" s="11"/>
      <c r="O48" s="208"/>
      <c r="P48" s="208"/>
    </row>
    <row r="49" spans="1:16" s="27" customFormat="1" ht="26.25" x14ac:dyDescent="0.2">
      <c r="A49" s="524">
        <v>-1</v>
      </c>
      <c r="B49" s="525" t="s">
        <v>515</v>
      </c>
      <c r="C49" s="520" t="s">
        <v>769</v>
      </c>
      <c r="D49" s="524" t="s">
        <v>796</v>
      </c>
      <c r="E49" s="526"/>
      <c r="F49" s="397" t="s">
        <v>264</v>
      </c>
      <c r="G49" s="382" t="s">
        <v>239</v>
      </c>
      <c r="H49" s="382" t="s">
        <v>250</v>
      </c>
      <c r="I49" s="383"/>
      <c r="J49" s="103" t="str">
        <f>VLOOKUP(K49,radky_R!A:O,15,0)</f>
        <v>Závazky ostatní</v>
      </c>
      <c r="K49" s="577">
        <v>119</v>
      </c>
      <c r="L49" s="104">
        <f>IF($D49="calc",ROUND(-SUMIFS(data!$Y:$Y,data!$C:$C,INDEX!$D$11,data!$N:$N,$B49,data!$S:$S,$K49),0)+O49,SUMIFS(L:L,$C:$C,$D49))</f>
        <v>0</v>
      </c>
      <c r="M49" s="105">
        <f>IF($D49="calc",ROUND(-SUMIFS(data!$Y:$Y,data!$C:$C,INDEX!$E$11,data!$N:$N,$B49,data!$S:$S,$K49),0)+P49,SUMIFS(M:M,$C:$C,$D49))</f>
        <v>0</v>
      </c>
      <c r="O49" s="217"/>
      <c r="P49" s="217"/>
    </row>
    <row r="50" spans="1:16" s="296" customFormat="1" ht="26.25" x14ac:dyDescent="0.2">
      <c r="A50" s="527">
        <v>-1</v>
      </c>
      <c r="B50" s="528" t="s">
        <v>515</v>
      </c>
      <c r="C50" s="524" t="s">
        <v>796</v>
      </c>
      <c r="D50" s="520" t="s">
        <v>747</v>
      </c>
      <c r="E50" s="529"/>
      <c r="F50" s="388"/>
      <c r="G50" s="395"/>
      <c r="H50" s="377"/>
      <c r="I50" s="377" t="s">
        <v>240</v>
      </c>
      <c r="J50" s="385" t="str">
        <f>VLOOKUP(K50,radky_R!A:O,15,0)</f>
        <v>Závazky ke společníkům</v>
      </c>
      <c r="K50" s="578">
        <v>120</v>
      </c>
      <c r="L50" s="531">
        <f>IF($D50="calc",ROUND(-SUMIFS(data!$Y:$Y,data!$C:$C,INDEX!$D$11,data!$N:$N,$B50,data!$S:$S,$K50),0)+O50,SUMIFS(L:L,$C:$C,$D50))</f>
        <v>0</v>
      </c>
      <c r="M50" s="532">
        <f>IF($D50="calc",ROUND(-SUMIFS(data!$Y:$Y,data!$C:$C,INDEX!$E$11,data!$N:$N,$B50,data!$S:$S,$K50),0)+P50,SUMIFS(M:M,$C:$C,$D50))</f>
        <v>0</v>
      </c>
      <c r="O50" s="396"/>
      <c r="P50" s="396"/>
    </row>
    <row r="51" spans="1:16" s="296" customFormat="1" ht="26.25" x14ac:dyDescent="0.2">
      <c r="A51" s="527">
        <v>-1</v>
      </c>
      <c r="B51" s="528" t="s">
        <v>515</v>
      </c>
      <c r="C51" s="524" t="s">
        <v>796</v>
      </c>
      <c r="D51" s="520" t="s">
        <v>747</v>
      </c>
      <c r="E51" s="529"/>
      <c r="F51" s="388"/>
      <c r="G51" s="395"/>
      <c r="H51" s="377"/>
      <c r="I51" s="377" t="s">
        <v>241</v>
      </c>
      <c r="J51" s="385" t="str">
        <f>VLOOKUP(K51,radky_R!A:O,15,0)</f>
        <v>Dohadné účty pasívní</v>
      </c>
      <c r="K51" s="578">
        <v>121</v>
      </c>
      <c r="L51" s="531">
        <f>IF($D51="calc",ROUND(-SUMIFS(data!$Y:$Y,data!$C:$C,INDEX!$D$11,data!$N:$N,$B51,data!$S:$S,$K51),0)+O51,SUMIFS(L:L,$C:$C,$D51))</f>
        <v>0</v>
      </c>
      <c r="M51" s="532">
        <f>IF($D51="calc",ROUND(-SUMIFS(data!$Y:$Y,data!$C:$C,INDEX!$E$11,data!$N:$N,$B51,data!$S:$S,$K51),0)+P51,SUMIFS(M:M,$C:$C,$D51))</f>
        <v>0</v>
      </c>
      <c r="O51" s="396"/>
      <c r="P51" s="396"/>
    </row>
    <row r="52" spans="1:16" s="296" customFormat="1" ht="26.25" x14ac:dyDescent="0.2">
      <c r="A52" s="527">
        <v>-1</v>
      </c>
      <c r="B52" s="528" t="s">
        <v>515</v>
      </c>
      <c r="C52" s="524" t="s">
        <v>796</v>
      </c>
      <c r="D52" s="520" t="s">
        <v>747</v>
      </c>
      <c r="E52" s="529"/>
      <c r="F52" s="388"/>
      <c r="G52" s="395"/>
      <c r="H52" s="377"/>
      <c r="I52" s="377" t="s">
        <v>242</v>
      </c>
      <c r="J52" s="385" t="str">
        <f>VLOOKUP(K52,radky_R!A:O,15,0)</f>
        <v>Jiné závazky</v>
      </c>
      <c r="K52" s="578">
        <v>122</v>
      </c>
      <c r="L52" s="531">
        <f>IF($D52="calc",ROUND(-SUMIFS(data!$Y:$Y,data!$C:$C,INDEX!$D$11,data!$N:$N,$B52,data!$S:$S,$K52),0)+O52,SUMIFS(L:L,$C:$C,$D52))</f>
        <v>0</v>
      </c>
      <c r="M52" s="532">
        <f>IF($D52="calc",ROUND(-SUMIFS(data!$Y:$Y,data!$C:$C,INDEX!$E$11,data!$N:$N,$B52,data!$S:$S,$K52),0)+P52,SUMIFS(M:M,$C:$C,$D52))</f>
        <v>0</v>
      </c>
      <c r="O52" s="396"/>
      <c r="P52" s="396"/>
    </row>
    <row r="53" spans="1:16" ht="26.25" x14ac:dyDescent="0.2">
      <c r="A53" s="520">
        <v>-1</v>
      </c>
      <c r="B53" s="521" t="s">
        <v>515</v>
      </c>
      <c r="C53" s="520" t="s">
        <v>264</v>
      </c>
      <c r="D53" s="520" t="s">
        <v>771</v>
      </c>
      <c r="E53" s="523"/>
      <c r="F53" s="281" t="s">
        <v>264</v>
      </c>
      <c r="G53" s="282" t="s">
        <v>249</v>
      </c>
      <c r="H53" s="282"/>
      <c r="I53" s="286"/>
      <c r="J53" s="106" t="str">
        <f>VLOOKUP(K53,radky_R!A:O,15,0)</f>
        <v>Krátkodobé závazky      (ř. 124 + 127 až 133)</v>
      </c>
      <c r="K53" s="147">
        <v>123</v>
      </c>
      <c r="L53" s="98">
        <f>IF($D53="calc",ROUND(-SUMIFS(data!$Y:$Y,data!$C:$C,INDEX!$D$11,data!$N:$N,$B53,data!$S:$S,$K53),0)+O53,SUMIFS(L:L,$C:$C,$D53))</f>
        <v>0</v>
      </c>
      <c r="M53" s="107">
        <f>IF($D53="calc",ROUND(-SUMIFS(data!$Y:$Y,data!$C:$C,INDEX!$E$11,data!$N:$N,$B53,data!$S:$S,$K53),0)+P53,SUMIFS(M:M,$C:$C,$D53))</f>
        <v>0</v>
      </c>
      <c r="N53" s="11"/>
      <c r="O53" s="217"/>
      <c r="P53" s="217"/>
    </row>
    <row r="54" spans="1:16" s="27" customFormat="1" ht="26.25" x14ac:dyDescent="0.2">
      <c r="A54" s="524">
        <v>-1</v>
      </c>
      <c r="B54" s="525" t="s">
        <v>515</v>
      </c>
      <c r="C54" s="520" t="s">
        <v>771</v>
      </c>
      <c r="D54" s="524" t="s">
        <v>772</v>
      </c>
      <c r="E54" s="526"/>
      <c r="F54" s="397" t="s">
        <v>264</v>
      </c>
      <c r="G54" s="382" t="s">
        <v>249</v>
      </c>
      <c r="H54" s="382" t="s">
        <v>240</v>
      </c>
      <c r="I54" s="383"/>
      <c r="J54" s="103" t="str">
        <f>VLOOKUP(K54,radky_R!A:O,15,0)</f>
        <v>Vydané dluhopisy</v>
      </c>
      <c r="K54" s="577">
        <v>124</v>
      </c>
      <c r="L54" s="104">
        <f>IF($D54="calc",ROUND(-SUMIFS(data!$Y:$Y,data!$C:$C,INDEX!$D$11,data!$N:$N,$B54,data!$S:$S,$K54),0)+O54,SUMIFS(L:L,$C:$C,$D54))</f>
        <v>0</v>
      </c>
      <c r="M54" s="105">
        <f>IF($D54="calc",ROUND(-SUMIFS(data!$Y:$Y,data!$C:$C,INDEX!$E$11,data!$N:$N,$B54,data!$S:$S,$K54),0)+P54,SUMIFS(M:M,$C:$C,$D54))</f>
        <v>0</v>
      </c>
      <c r="O54" s="217"/>
      <c r="P54" s="217"/>
    </row>
    <row r="55" spans="1:16" s="296" customFormat="1" ht="26.25" x14ac:dyDescent="0.2">
      <c r="A55" s="527">
        <v>-1</v>
      </c>
      <c r="B55" s="528" t="s">
        <v>515</v>
      </c>
      <c r="C55" s="524" t="s">
        <v>772</v>
      </c>
      <c r="D55" s="527" t="s">
        <v>747</v>
      </c>
      <c r="E55" s="529"/>
      <c r="F55" s="378"/>
      <c r="G55" s="376"/>
      <c r="H55" s="377"/>
      <c r="I55" s="377" t="s">
        <v>240</v>
      </c>
      <c r="J55" s="385" t="str">
        <f>VLOOKUP(K55,radky_R!A:O,15,0)</f>
        <v>Vyměnitelné dluhopisy</v>
      </c>
      <c r="K55" s="578">
        <v>125</v>
      </c>
      <c r="L55" s="531">
        <f>IF($D55="calc",ROUND(-SUMIFS(data!$Y:$Y,data!$C:$C,INDEX!$D$11,data!$N:$N,$B55,data!$S:$S,$K55),0)+O55,SUMIFS(L:L,$C:$C,$D55))</f>
        <v>0</v>
      </c>
      <c r="M55" s="532">
        <f>IF($D55="calc",ROUND(-SUMIFS(data!$Y:$Y,data!$C:$C,INDEX!$E$11,data!$N:$N,$B55,data!$S:$S,$K55),0)+P55,SUMIFS(M:M,$C:$C,$D55))</f>
        <v>0</v>
      </c>
      <c r="O55" s="297"/>
      <c r="P55" s="297"/>
    </row>
    <row r="56" spans="1:16" s="296" customFormat="1" ht="26.25" x14ac:dyDescent="0.2">
      <c r="A56" s="527">
        <v>-1</v>
      </c>
      <c r="B56" s="528" t="s">
        <v>515</v>
      </c>
      <c r="C56" s="524" t="s">
        <v>772</v>
      </c>
      <c r="D56" s="527" t="s">
        <v>747</v>
      </c>
      <c r="E56" s="529"/>
      <c r="F56" s="388"/>
      <c r="G56" s="377"/>
      <c r="H56" s="377"/>
      <c r="I56" s="377" t="s">
        <v>241</v>
      </c>
      <c r="J56" s="389" t="str">
        <f>VLOOKUP(K56,radky_R!A:O,15,0)</f>
        <v>Ostatní dluhopisy</v>
      </c>
      <c r="K56" s="579">
        <v>126</v>
      </c>
      <c r="L56" s="533">
        <f>IF($D56="calc",ROUND(-SUMIFS(data!$Y:$Y,data!$C:$C,INDEX!$D$11,data!$N:$N,$B56,data!$S:$S,$K56),0)+O56,SUMIFS(L:L,$C:$C,$D56))</f>
        <v>0</v>
      </c>
      <c r="M56" s="534">
        <f>IF($D56="calc",ROUND(-SUMIFS(data!$Y:$Y,data!$C:$C,INDEX!$E$11,data!$N:$N,$B56,data!$S:$S,$K56),0)+P56,SUMIFS(M:M,$C:$C,$D56))</f>
        <v>0</v>
      </c>
      <c r="O56" s="297"/>
      <c r="P56" s="297"/>
    </row>
    <row r="57" spans="1:16" ht="26.25" x14ac:dyDescent="0.2">
      <c r="A57" s="520">
        <v>-1</v>
      </c>
      <c r="B57" s="521" t="s">
        <v>515</v>
      </c>
      <c r="C57" s="520" t="s">
        <v>771</v>
      </c>
      <c r="D57" s="520" t="s">
        <v>747</v>
      </c>
      <c r="E57" s="523"/>
      <c r="F57" s="366" t="s">
        <v>264</v>
      </c>
      <c r="G57" s="367" t="s">
        <v>249</v>
      </c>
      <c r="H57" s="367" t="s">
        <v>241</v>
      </c>
      <c r="I57" s="368"/>
      <c r="J57" s="100" t="str">
        <f>VLOOKUP(K57,radky_R!A:O,15,0)</f>
        <v>Závazky k úvěrovým institucím</v>
      </c>
      <c r="K57" s="576">
        <v>127</v>
      </c>
      <c r="L57" s="101">
        <f>IF($D57="calc",ROUND(-SUMIFS(data!$Y:$Y,data!$C:$C,INDEX!$D$11,data!$N:$N,$B57,data!$S:$S,$K57),0)+O57,SUMIFS(L:L,$C:$C,$D57))</f>
        <v>0</v>
      </c>
      <c r="M57" s="102">
        <f>IF($D57="calc",ROUND(-SUMIFS(data!$Y:$Y,data!$C:$C,INDEX!$E$11,data!$N:$N,$B57,data!$S:$S,$K57),0)+P57,SUMIFS(M:M,$C:$C,$D57))</f>
        <v>0</v>
      </c>
      <c r="N57" s="11"/>
      <c r="O57" s="208"/>
      <c r="P57" s="208"/>
    </row>
    <row r="58" spans="1:16" ht="26.25" x14ac:dyDescent="0.2">
      <c r="A58" s="520">
        <v>-1</v>
      </c>
      <c r="B58" s="521" t="s">
        <v>515</v>
      </c>
      <c r="C58" s="520" t="s">
        <v>771</v>
      </c>
      <c r="D58" s="520" t="s">
        <v>747</v>
      </c>
      <c r="E58" s="523"/>
      <c r="F58" s="366" t="s">
        <v>264</v>
      </c>
      <c r="G58" s="367" t="s">
        <v>249</v>
      </c>
      <c r="H58" s="367" t="s">
        <v>242</v>
      </c>
      <c r="I58" s="368"/>
      <c r="J58" s="100" t="str">
        <f>VLOOKUP(K58,radky_R!A:O,15,0)</f>
        <v>Krátkodobé přijaté zálohy</v>
      </c>
      <c r="K58" s="576">
        <v>128</v>
      </c>
      <c r="L58" s="101">
        <f>IF($D58="calc",ROUND(-SUMIFS(data!$Y:$Y,data!$C:$C,INDEX!$D$11,data!$N:$N,$B58,data!$S:$S,$K58),0)+O58,SUMIFS(L:L,$C:$C,$D58))</f>
        <v>0</v>
      </c>
      <c r="M58" s="102">
        <f>IF($D58="calc",ROUND(-SUMIFS(data!$Y:$Y,data!$C:$C,INDEX!$E$11,data!$N:$N,$B58,data!$S:$S,$K58),0)+P58,SUMIFS(M:M,$C:$C,$D58))</f>
        <v>0</v>
      </c>
      <c r="N58" s="11"/>
      <c r="O58" s="208"/>
      <c r="P58" s="208"/>
    </row>
    <row r="59" spans="1:16" ht="26.25" x14ac:dyDescent="0.2">
      <c r="A59" s="520">
        <v>-1</v>
      </c>
      <c r="B59" s="521" t="s">
        <v>515</v>
      </c>
      <c r="C59" s="520" t="s">
        <v>771</v>
      </c>
      <c r="D59" s="520" t="s">
        <v>747</v>
      </c>
      <c r="E59" s="523"/>
      <c r="F59" s="366" t="s">
        <v>264</v>
      </c>
      <c r="G59" s="367" t="s">
        <v>249</v>
      </c>
      <c r="H59" s="367" t="s">
        <v>243</v>
      </c>
      <c r="I59" s="368"/>
      <c r="J59" s="100" t="str">
        <f>VLOOKUP(K59,radky_R!A:O,15,0)</f>
        <v>Závazky z obchodních vztahů</v>
      </c>
      <c r="K59" s="576">
        <v>129</v>
      </c>
      <c r="L59" s="101">
        <f>IF($D59="calc",ROUND(-SUMIFS(data!$Y:$Y,data!$C:$C,INDEX!$D$11,data!$N:$N,$B59,data!$S:$S,$K59),0)+O59,SUMIFS(L:L,$C:$C,$D59))</f>
        <v>0</v>
      </c>
      <c r="M59" s="102">
        <f>IF($D59="calc",ROUND(-SUMIFS(data!$Y:$Y,data!$C:$C,INDEX!$E$11,data!$N:$N,$B59,data!$S:$S,$K59),0)+P59,SUMIFS(M:M,$C:$C,$D59))</f>
        <v>0</v>
      </c>
      <c r="N59" s="11"/>
      <c r="O59" s="208"/>
      <c r="P59" s="208"/>
    </row>
    <row r="60" spans="1:16" ht="26.25" x14ac:dyDescent="0.2">
      <c r="A60" s="520">
        <v>-1</v>
      </c>
      <c r="B60" s="521" t="s">
        <v>515</v>
      </c>
      <c r="C60" s="520" t="s">
        <v>771</v>
      </c>
      <c r="D60" s="520" t="s">
        <v>747</v>
      </c>
      <c r="E60" s="523"/>
      <c r="F60" s="366" t="s">
        <v>264</v>
      </c>
      <c r="G60" s="367" t="s">
        <v>249</v>
      </c>
      <c r="H60" s="367" t="s">
        <v>244</v>
      </c>
      <c r="I60" s="368"/>
      <c r="J60" s="100" t="str">
        <f>VLOOKUP(K60,radky_R!A:O,15,0)</f>
        <v>Krátkodobé směnky k úhradě</v>
      </c>
      <c r="K60" s="576">
        <v>130</v>
      </c>
      <c r="L60" s="101">
        <f>IF($D60="calc",ROUND(-SUMIFS(data!$Y:$Y,data!$C:$C,INDEX!$D$11,data!$N:$N,$B60,data!$S:$S,$K60),0)+O60,SUMIFS(L:L,$C:$C,$D60))</f>
        <v>0</v>
      </c>
      <c r="M60" s="102">
        <f>IF($D60="calc",ROUND(-SUMIFS(data!$Y:$Y,data!$C:$C,INDEX!$E$11,data!$N:$N,$B60,data!$S:$S,$K60),0)+P60,SUMIFS(M:M,$C:$C,$D60))</f>
        <v>0</v>
      </c>
      <c r="N60" s="11"/>
      <c r="O60" s="208"/>
      <c r="P60" s="208"/>
    </row>
    <row r="61" spans="1:16" ht="26.25" x14ac:dyDescent="0.2">
      <c r="A61" s="520">
        <v>-1</v>
      </c>
      <c r="B61" s="521" t="s">
        <v>515</v>
      </c>
      <c r="C61" s="520" t="s">
        <v>771</v>
      </c>
      <c r="D61" s="520" t="s">
        <v>747</v>
      </c>
      <c r="E61" s="523"/>
      <c r="F61" s="366" t="s">
        <v>264</v>
      </c>
      <c r="G61" s="367" t="s">
        <v>249</v>
      </c>
      <c r="H61" s="367" t="s">
        <v>245</v>
      </c>
      <c r="I61" s="368"/>
      <c r="J61" s="100" t="str">
        <f>VLOOKUP(K61,radky_R!A:O,15,0)</f>
        <v>Závazky - ovládaná nebo ovládající osoba</v>
      </c>
      <c r="K61" s="576">
        <v>131</v>
      </c>
      <c r="L61" s="101">
        <f>IF($D61="calc",ROUND(-SUMIFS(data!$Y:$Y,data!$C:$C,INDEX!$D$11,data!$N:$N,$B61,data!$S:$S,$K61),0)+O61,SUMIFS(L:L,$C:$C,$D61))</f>
        <v>0</v>
      </c>
      <c r="M61" s="102">
        <f>IF($D61="calc",ROUND(-SUMIFS(data!$Y:$Y,data!$C:$C,INDEX!$E$11,data!$N:$N,$B61,data!$S:$S,$K61),0)+P61,SUMIFS(M:M,$C:$C,$D61))</f>
        <v>0</v>
      </c>
      <c r="N61" s="11"/>
      <c r="O61" s="208"/>
      <c r="P61" s="208"/>
    </row>
    <row r="62" spans="1:16" ht="26.25" x14ac:dyDescent="0.2">
      <c r="A62" s="520">
        <v>-1</v>
      </c>
      <c r="B62" s="521" t="s">
        <v>515</v>
      </c>
      <c r="C62" s="520" t="s">
        <v>771</v>
      </c>
      <c r="D62" s="520" t="s">
        <v>747</v>
      </c>
      <c r="E62" s="523"/>
      <c r="F62" s="366" t="s">
        <v>264</v>
      </c>
      <c r="G62" s="367" t="s">
        <v>249</v>
      </c>
      <c r="H62" s="367" t="s">
        <v>246</v>
      </c>
      <c r="I62" s="368"/>
      <c r="J62" s="100" t="str">
        <f>VLOOKUP(K62,radky_R!A:O,15,0)</f>
        <v>Závazky - podstatný vliv</v>
      </c>
      <c r="K62" s="576">
        <v>132</v>
      </c>
      <c r="L62" s="101">
        <f>IF($D62="calc",ROUND(-SUMIFS(data!$Y:$Y,data!$C:$C,INDEX!$D$11,data!$N:$N,$B62,data!$S:$S,$K62),0)+O62,SUMIFS(L:L,$C:$C,$D62))</f>
        <v>0</v>
      </c>
      <c r="M62" s="102">
        <f>IF($D62="calc",ROUND(-SUMIFS(data!$Y:$Y,data!$C:$C,INDEX!$E$11,data!$N:$N,$B62,data!$S:$S,$K62),0)+P62,SUMIFS(M:M,$C:$C,$D62))</f>
        <v>0</v>
      </c>
      <c r="N62" s="11"/>
      <c r="O62" s="208"/>
      <c r="P62" s="208"/>
    </row>
    <row r="63" spans="1:16" s="27" customFormat="1" ht="26.25" x14ac:dyDescent="0.2">
      <c r="A63" s="524">
        <v>-1</v>
      </c>
      <c r="B63" s="525" t="s">
        <v>515</v>
      </c>
      <c r="C63" s="520" t="s">
        <v>771</v>
      </c>
      <c r="D63" s="524" t="s">
        <v>797</v>
      </c>
      <c r="E63" s="526"/>
      <c r="F63" s="397" t="s">
        <v>264</v>
      </c>
      <c r="G63" s="382" t="s">
        <v>249</v>
      </c>
      <c r="H63" s="382" t="s">
        <v>247</v>
      </c>
      <c r="I63" s="383"/>
      <c r="J63" s="103" t="str">
        <f>VLOOKUP(K63,radky_R!A:O,15,0)</f>
        <v>Závazky ostatní</v>
      </c>
      <c r="K63" s="577">
        <v>133</v>
      </c>
      <c r="L63" s="104">
        <f>IF($D63="calc",ROUND(-SUMIFS(data!$Y:$Y,data!$C:$C,INDEX!$D$11,data!$N:$N,$B63,data!$S:$S,$K63),0)+O63,SUMIFS(L:L,$C:$C,$D63))</f>
        <v>0</v>
      </c>
      <c r="M63" s="105">
        <f>IF($D63="calc",ROUND(-SUMIFS(data!$Y:$Y,data!$C:$C,INDEX!$E$11,data!$N:$N,$B63,data!$S:$S,$K63),0)+P63,SUMIFS(M:M,$C:$C,$D63))</f>
        <v>0</v>
      </c>
      <c r="O63" s="217"/>
      <c r="P63" s="217"/>
    </row>
    <row r="64" spans="1:16" s="296" customFormat="1" ht="26.25" x14ac:dyDescent="0.2">
      <c r="A64" s="527">
        <v>-1</v>
      </c>
      <c r="B64" s="528" t="s">
        <v>515</v>
      </c>
      <c r="C64" s="524" t="s">
        <v>797</v>
      </c>
      <c r="D64" s="527" t="s">
        <v>747</v>
      </c>
      <c r="E64" s="529"/>
      <c r="F64" s="378"/>
      <c r="G64" s="376"/>
      <c r="H64" s="377"/>
      <c r="I64" s="377" t="s">
        <v>240</v>
      </c>
      <c r="J64" s="385" t="str">
        <f>VLOOKUP(K64,radky_R!A:O,15,0)</f>
        <v>Závazky ke společníkům</v>
      </c>
      <c r="K64" s="578">
        <v>134</v>
      </c>
      <c r="L64" s="531">
        <f>IF($D64="calc",ROUND(-SUMIFS(data!$Y:$Y,data!$C:$C,INDEX!$D$11,data!$N:$N,$B64,data!$S:$S,$K64),0)+O64,SUMIFS(L:L,$C:$C,$D64))</f>
        <v>0</v>
      </c>
      <c r="M64" s="532">
        <f>IF($D64="calc",ROUND(-SUMIFS(data!$Y:$Y,data!$C:$C,INDEX!$E$11,data!$N:$N,$B64,data!$S:$S,$K64),0)+P64,SUMIFS(M:M,$C:$C,$D64))</f>
        <v>0</v>
      </c>
      <c r="O64" s="297"/>
      <c r="P64" s="297"/>
    </row>
    <row r="65" spans="1:16" s="296" customFormat="1" ht="26.25" x14ac:dyDescent="0.2">
      <c r="A65" s="527">
        <v>-1</v>
      </c>
      <c r="B65" s="528" t="s">
        <v>515</v>
      </c>
      <c r="C65" s="524" t="s">
        <v>797</v>
      </c>
      <c r="D65" s="527" t="s">
        <v>747</v>
      </c>
      <c r="E65" s="529"/>
      <c r="F65" s="378"/>
      <c r="G65" s="376"/>
      <c r="H65" s="377"/>
      <c r="I65" s="377" t="s">
        <v>241</v>
      </c>
      <c r="J65" s="385" t="str">
        <f>VLOOKUP(K65,radky_R!A:O,15,0)</f>
        <v>Krátkodobé finanční výpomoci</v>
      </c>
      <c r="K65" s="578">
        <v>135</v>
      </c>
      <c r="L65" s="531">
        <f>IF($D65="calc",ROUND(-SUMIFS(data!$Y:$Y,data!$C:$C,INDEX!$D$11,data!$N:$N,$B65,data!$S:$S,$K65),0)+O65,SUMIFS(L:L,$C:$C,$D65))</f>
        <v>0</v>
      </c>
      <c r="M65" s="532">
        <f>IF($D65="calc",ROUND(-SUMIFS(data!$Y:$Y,data!$C:$C,INDEX!$E$11,data!$N:$N,$B65,data!$S:$S,$K65),0)+P65,SUMIFS(M:M,$C:$C,$D65))</f>
        <v>0</v>
      </c>
      <c r="O65" s="297"/>
      <c r="P65" s="297"/>
    </row>
    <row r="66" spans="1:16" s="296" customFormat="1" ht="26.25" x14ac:dyDescent="0.2">
      <c r="A66" s="527">
        <v>-1</v>
      </c>
      <c r="B66" s="528" t="s">
        <v>515</v>
      </c>
      <c r="C66" s="524" t="s">
        <v>797</v>
      </c>
      <c r="D66" s="527" t="s">
        <v>747</v>
      </c>
      <c r="E66" s="529"/>
      <c r="F66" s="378"/>
      <c r="G66" s="376"/>
      <c r="H66" s="377"/>
      <c r="I66" s="377" t="s">
        <v>242</v>
      </c>
      <c r="J66" s="385" t="str">
        <f>VLOOKUP(K66,radky_R!A:O,15,0)</f>
        <v>Závazky k zaměstnancům</v>
      </c>
      <c r="K66" s="578">
        <v>136</v>
      </c>
      <c r="L66" s="531">
        <f>IF($D66="calc",ROUND(-SUMIFS(data!$Y:$Y,data!$C:$C,INDEX!$D$11,data!$N:$N,$B66,data!$S:$S,$K66),0)+O66,SUMIFS(L:L,$C:$C,$D66))</f>
        <v>0</v>
      </c>
      <c r="M66" s="532">
        <f>IF($D66="calc",ROUND(-SUMIFS(data!$Y:$Y,data!$C:$C,INDEX!$E$11,data!$N:$N,$B66,data!$S:$S,$K66),0)+P66,SUMIFS(M:M,$C:$C,$D66))</f>
        <v>0</v>
      </c>
      <c r="O66" s="297"/>
      <c r="P66" s="297"/>
    </row>
    <row r="67" spans="1:16" s="296" customFormat="1" ht="26.25" x14ac:dyDescent="0.2">
      <c r="A67" s="527">
        <v>-1</v>
      </c>
      <c r="B67" s="528" t="s">
        <v>515</v>
      </c>
      <c r="C67" s="524" t="s">
        <v>797</v>
      </c>
      <c r="D67" s="527" t="s">
        <v>747</v>
      </c>
      <c r="E67" s="529"/>
      <c r="F67" s="378"/>
      <c r="G67" s="376"/>
      <c r="H67" s="377"/>
      <c r="I67" s="377" t="s">
        <v>243</v>
      </c>
      <c r="J67" s="385" t="str">
        <f>VLOOKUP(K67,radky_R!A:O,15,0)</f>
        <v>Závazky ze sociálního zabezpečení a zdravotního pojištění</v>
      </c>
      <c r="K67" s="578">
        <v>137</v>
      </c>
      <c r="L67" s="531">
        <f>IF($D67="calc",ROUND(-SUMIFS(data!$Y:$Y,data!$C:$C,INDEX!$D$11,data!$N:$N,$B67,data!$S:$S,$K67),0)+O67,SUMIFS(L:L,$C:$C,$D67))</f>
        <v>0</v>
      </c>
      <c r="M67" s="532">
        <f>IF($D67="calc",ROUND(-SUMIFS(data!$Y:$Y,data!$C:$C,INDEX!$E$11,data!$N:$N,$B67,data!$S:$S,$K67),0)+P67,SUMIFS(M:M,$C:$C,$D67))</f>
        <v>0</v>
      </c>
      <c r="O67" s="297"/>
      <c r="P67" s="297"/>
    </row>
    <row r="68" spans="1:16" s="296" customFormat="1" ht="26.25" x14ac:dyDescent="0.2">
      <c r="A68" s="527">
        <v>-1</v>
      </c>
      <c r="B68" s="528" t="s">
        <v>515</v>
      </c>
      <c r="C68" s="524" t="s">
        <v>797</v>
      </c>
      <c r="D68" s="527" t="s">
        <v>747</v>
      </c>
      <c r="E68" s="529"/>
      <c r="F68" s="378"/>
      <c r="G68" s="376"/>
      <c r="H68" s="377"/>
      <c r="I68" s="377" t="s">
        <v>244</v>
      </c>
      <c r="J68" s="385" t="str">
        <f>VLOOKUP(K68,radky_R!A:O,15,0)</f>
        <v>Stát - daňové závazky a dotace</v>
      </c>
      <c r="K68" s="578">
        <v>138</v>
      </c>
      <c r="L68" s="531">
        <f>IF($D68="calc",ROUND(-SUMIFS(data!$Y:$Y,data!$C:$C,INDEX!$D$11,data!$N:$N,$B68,data!$S:$S,$K68),0)+O68,SUMIFS(L:L,$C:$C,$D68))</f>
        <v>0</v>
      </c>
      <c r="M68" s="532">
        <f>IF($D68="calc",ROUND(-SUMIFS(data!$Y:$Y,data!$C:$C,INDEX!$E$11,data!$N:$N,$B68,data!$S:$S,$K68),0)+P68,SUMIFS(M:M,$C:$C,$D68))</f>
        <v>0</v>
      </c>
      <c r="O68" s="297"/>
      <c r="P68" s="297"/>
    </row>
    <row r="69" spans="1:16" s="296" customFormat="1" ht="26.25" x14ac:dyDescent="0.2">
      <c r="A69" s="527">
        <v>-1</v>
      </c>
      <c r="B69" s="528" t="s">
        <v>515</v>
      </c>
      <c r="C69" s="524" t="s">
        <v>797</v>
      </c>
      <c r="D69" s="527" t="s">
        <v>747</v>
      </c>
      <c r="E69" s="529"/>
      <c r="F69" s="378"/>
      <c r="G69" s="376"/>
      <c r="H69" s="377"/>
      <c r="I69" s="377" t="s">
        <v>245</v>
      </c>
      <c r="J69" s="385" t="str">
        <f>VLOOKUP(K69,radky_R!A:O,15,0)</f>
        <v xml:space="preserve">Dohadné účty pasivní </v>
      </c>
      <c r="K69" s="578">
        <v>139</v>
      </c>
      <c r="L69" s="531">
        <f>IF($D69="calc",ROUND(-SUMIFS(data!$Y:$Y,data!$C:$C,INDEX!$D$11,data!$N:$N,$B69,data!$S:$S,$K69),0)+O69,SUMIFS(L:L,$C:$C,$D69))</f>
        <v>0</v>
      </c>
      <c r="M69" s="532">
        <f>IF($D69="calc",ROUND(-SUMIFS(data!$Y:$Y,data!$C:$C,INDEX!$E$11,data!$N:$N,$B69,data!$S:$S,$K69),0)+P69,SUMIFS(M:M,$C:$C,$D69))</f>
        <v>0</v>
      </c>
      <c r="N69" s="554" t="s">
        <v>616</v>
      </c>
      <c r="O69" s="297"/>
      <c r="P69" s="297"/>
    </row>
    <row r="70" spans="1:16" s="296" customFormat="1" ht="27" thickBot="1" x14ac:dyDescent="0.25">
      <c r="A70" s="527">
        <v>-1</v>
      </c>
      <c r="B70" s="528" t="s">
        <v>515</v>
      </c>
      <c r="C70" s="524" t="s">
        <v>797</v>
      </c>
      <c r="D70" s="527" t="s">
        <v>747</v>
      </c>
      <c r="E70" s="529"/>
      <c r="F70" s="378"/>
      <c r="G70" s="376"/>
      <c r="H70" s="377"/>
      <c r="I70" s="377" t="s">
        <v>246</v>
      </c>
      <c r="J70" s="385" t="str">
        <f>VLOOKUP(K70,radky_R!A:O,15,0)</f>
        <v>Jiné závazky</v>
      </c>
      <c r="K70" s="578">
        <v>140</v>
      </c>
      <c r="L70" s="531">
        <f>IF($D70="calc",ROUND(-SUMIFS(data!$Y:$Y,data!$C:$C,INDEX!$D$11,data!$N:$N,$B70,data!$S:$S,$K70),0)+O70,SUMIFS(L:L,$C:$C,$D70))</f>
        <v>0</v>
      </c>
      <c r="M70" s="532">
        <f>IF($D70="calc",ROUND(-SUMIFS(data!$Y:$Y,data!$C:$C,INDEX!$E$11,data!$N:$N,$B70,data!$S:$S,$K70),0)+P70,SUMIFS(M:M,$C:$C,$D70))</f>
        <v>0</v>
      </c>
      <c r="N70" s="554"/>
      <c r="O70" s="297"/>
      <c r="P70" s="297"/>
    </row>
    <row r="71" spans="1:16" ht="26.25" x14ac:dyDescent="0.2">
      <c r="A71" s="527">
        <v>-1</v>
      </c>
      <c r="B71" s="528" t="s">
        <v>515</v>
      </c>
      <c r="C71" s="520" t="s">
        <v>788</v>
      </c>
      <c r="D71" s="520" t="s">
        <v>273</v>
      </c>
      <c r="E71" s="523"/>
      <c r="F71" s="141" t="s">
        <v>273</v>
      </c>
      <c r="G71" s="142"/>
      <c r="H71" s="142"/>
      <c r="I71" s="391"/>
      <c r="J71" s="130" t="str">
        <f>VLOOKUP(K71,radky_R!A:O,15,0)</f>
        <v>Časové rozlišení pasiv      (ř. 142 + 143)</v>
      </c>
      <c r="K71" s="144">
        <v>141</v>
      </c>
      <c r="L71" s="364">
        <f>IF($D71="calc",ROUND(-SUMIFS(data!$Y:$Y,data!$C:$C,INDEX!$D$11,data!$N:$N,$B71,data!$S:$S,$K71),0)+O71,SUMIFS(L:L,$C:$C,$D71))</f>
        <v>0</v>
      </c>
      <c r="M71" s="365">
        <f>IF($D71="calc",ROUND(-SUMIFS(data!$Y:$Y,data!$C:$C,INDEX!$E$11,data!$N:$N,$B71,data!$S:$S,$K71),0)+P71,SUMIFS(M:M,$C:$C,$D71))</f>
        <v>0</v>
      </c>
      <c r="N71" s="554"/>
      <c r="O71" s="217"/>
      <c r="P71" s="217"/>
    </row>
    <row r="72" spans="1:16" ht="26.25" x14ac:dyDescent="0.2">
      <c r="A72" s="527">
        <v>-1</v>
      </c>
      <c r="B72" s="528" t="s">
        <v>515</v>
      </c>
      <c r="C72" s="520" t="s">
        <v>273</v>
      </c>
      <c r="D72" s="520" t="s">
        <v>747</v>
      </c>
      <c r="E72" s="523"/>
      <c r="F72" s="366" t="s">
        <v>273</v>
      </c>
      <c r="G72" s="367" t="s">
        <v>240</v>
      </c>
      <c r="H72" s="367"/>
      <c r="I72" s="368"/>
      <c r="J72" s="100" t="str">
        <f>VLOOKUP(K72,radky_R!A:O,15,0)</f>
        <v>Výdaje příštích období</v>
      </c>
      <c r="K72" s="576">
        <v>142</v>
      </c>
      <c r="L72" s="101">
        <f>IF($D72="calc",ROUND(-SUMIFS(data!$Y:$Y,data!$C:$C,INDEX!$D$11,data!$N:$N,$B72,data!$S:$S,$K72),0)+O72,SUMIFS(L:L,$C:$C,$D72))</f>
        <v>0</v>
      </c>
      <c r="M72" s="102">
        <f>IF($D72="calc",ROUND(-SUMIFS(data!$Y:$Y,data!$C:$C,INDEX!$E$11,data!$N:$N,$B72,data!$S:$S,$K72),0)+P72,SUMIFS(M:M,$C:$C,$D72))</f>
        <v>0</v>
      </c>
      <c r="N72" s="554"/>
      <c r="O72" s="208"/>
      <c r="P72" s="208"/>
    </row>
    <row r="73" spans="1:16" ht="27" thickBot="1" x14ac:dyDescent="0.25">
      <c r="A73" s="527">
        <v>-1</v>
      </c>
      <c r="B73" s="528" t="s">
        <v>515</v>
      </c>
      <c r="C73" s="520" t="s">
        <v>273</v>
      </c>
      <c r="D73" s="520" t="s">
        <v>747</v>
      </c>
      <c r="E73" s="523"/>
      <c r="F73" s="401" t="s">
        <v>273</v>
      </c>
      <c r="G73" s="398" t="s">
        <v>241</v>
      </c>
      <c r="H73" s="398"/>
      <c r="I73" s="399"/>
      <c r="J73" s="400" t="str">
        <f>VLOOKUP(K73,radky_R!A:O,15,0)</f>
        <v xml:space="preserve">Výnosy příštích období </v>
      </c>
      <c r="K73" s="580">
        <v>143</v>
      </c>
      <c r="L73" s="169">
        <f>IF($D73="calc",ROUND(-SUMIFS(data!$Y:$Y,data!$C:$C,INDEX!$D$11,data!$N:$N,$B73,data!$S:$S,$K73),0)+O73,SUMIFS(L:L,$C:$C,$D73))</f>
        <v>0</v>
      </c>
      <c r="M73" s="170">
        <f>IF($D73="calc",ROUND(-SUMIFS(data!$Y:$Y,data!$C:$C,INDEX!$E$11,data!$N:$N,$B73,data!$S:$S,$K73),0)+P73,SUMIFS(M:M,$C:$C,$D73))</f>
        <v>0</v>
      </c>
      <c r="N73" s="554"/>
      <c r="O73" s="208"/>
      <c r="P73" s="208"/>
    </row>
  </sheetData>
  <sheetProtection password="DD47" sheet="1" objects="1" scenarios="1"/>
  <mergeCells count="6">
    <mergeCell ref="N69:N73"/>
    <mergeCell ref="F5:H5"/>
    <mergeCell ref="F7:H7"/>
    <mergeCell ref="L5:L6"/>
    <mergeCell ref="M5:M6"/>
    <mergeCell ref="N26:N30"/>
  </mergeCells>
  <conditionalFormatting sqref="O7:P7">
    <cfRule type="cellIs" dxfId="283" priority="19" operator="equal">
      <formula>0</formula>
    </cfRule>
  </conditionalFormatting>
  <conditionalFormatting sqref="O11:P13 O15:P15 O17:P20">
    <cfRule type="expression" dxfId="282" priority="18">
      <formula>O$7&lt;&gt;0</formula>
    </cfRule>
  </conditionalFormatting>
  <conditionalFormatting sqref="O23:P24">
    <cfRule type="expression" dxfId="281" priority="16">
      <formula>O$7&lt;&gt;0</formula>
    </cfRule>
  </conditionalFormatting>
  <conditionalFormatting sqref="O26:P28">
    <cfRule type="expression" dxfId="280" priority="15">
      <formula>O$7&lt;&gt;0</formula>
    </cfRule>
  </conditionalFormatting>
  <conditionalFormatting sqref="O33:P36">
    <cfRule type="expression" dxfId="279" priority="14">
      <formula>O$7&lt;&gt;0</formula>
    </cfRule>
  </conditionalFormatting>
  <conditionalFormatting sqref="O40:P40">
    <cfRule type="expression" dxfId="278" priority="12">
      <formula>O$7&lt;&gt;0</formula>
    </cfRule>
  </conditionalFormatting>
  <conditionalFormatting sqref="O42:P48">
    <cfRule type="expression" dxfId="277" priority="11">
      <formula>O$7&lt;&gt;0</formula>
    </cfRule>
  </conditionalFormatting>
  <conditionalFormatting sqref="O50:P52">
    <cfRule type="expression" dxfId="276" priority="10">
      <formula>O$7&lt;&gt;0</formula>
    </cfRule>
  </conditionalFormatting>
  <conditionalFormatting sqref="O68:P68">
    <cfRule type="expression" dxfId="275" priority="8">
      <formula>O$7&lt;&gt;0</formula>
    </cfRule>
  </conditionalFormatting>
  <conditionalFormatting sqref="O55:P55 O69:P69">
    <cfRule type="expression" dxfId="274" priority="7">
      <formula>O$7&lt;&gt;0</formula>
    </cfRule>
  </conditionalFormatting>
  <conditionalFormatting sqref="O57:P62">
    <cfRule type="expression" dxfId="273" priority="6">
      <formula>O$7&lt;&gt;0</formula>
    </cfRule>
  </conditionalFormatting>
  <conditionalFormatting sqref="O66:P67">
    <cfRule type="expression" dxfId="272" priority="5">
      <formula>O$7&lt;&gt;0</formula>
    </cfRule>
  </conditionalFormatting>
  <conditionalFormatting sqref="O64:P70">
    <cfRule type="expression" dxfId="271" priority="3">
      <formula>O$7&lt;&gt;0</formula>
    </cfRule>
  </conditionalFormatting>
  <conditionalFormatting sqref="O72:P73">
    <cfRule type="expression" dxfId="270" priority="2">
      <formula>O$7&lt;&gt;0</formula>
    </cfRule>
  </conditionalFormatting>
  <conditionalFormatting sqref="O56:P56">
    <cfRule type="expression" dxfId="269" priority="1">
      <formula>O$7&lt;&gt;0</formula>
    </cfRule>
  </conditionalFormatting>
  <pageMargins left="0.39370078740157483" right="0.39370078740157483" top="0.19685039370078741" bottom="0.39370078740157483" header="0" footer="0"/>
  <pageSetup paperSize="9" scale="65" fitToHeight="0" orientation="portrait" r:id="rId1"/>
  <headerFooter scaleWithDoc="0">
    <oddFooter>&amp;L&amp;G&amp;C&amp;"-,Obyčejné"&amp;8&amp;K00+000Tisk: &amp;D &amp;T&amp;R&amp;"-,Obyčejné"&amp;8&amp;K00+000&amp;F</oddFooter>
  </headerFooter>
  <rowBreaks count="1" manualBreakCount="1">
    <brk id="30" min="5" max="1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499984740745262"/>
  </sheetPr>
  <dimension ref="A1:R63"/>
  <sheetViews>
    <sheetView showGridLines="0" showRowColHeaders="0" showZeros="0" topLeftCell="F1" zoomScale="80" zoomScaleNormal="80" workbookViewId="0">
      <pane ySplit="7" topLeftCell="A8" activePane="bottomLeft" state="frozen"/>
      <selection activeCell="F1" sqref="F1"/>
      <selection pane="bottomLeft" activeCell="M11" sqref="M11"/>
    </sheetView>
  </sheetViews>
  <sheetFormatPr defaultColWidth="0" defaultRowHeight="23.25" x14ac:dyDescent="0.2"/>
  <cols>
    <col min="1" max="1" width="2.85546875" style="541" hidden="1" customWidth="1"/>
    <col min="2" max="2" width="8" style="521" hidden="1" customWidth="1"/>
    <col min="3" max="3" width="7.85546875" style="520" hidden="1" customWidth="1"/>
    <col min="4" max="4" width="3.85546875" style="520" hidden="1" customWidth="1"/>
    <col min="5" max="5" width="2.85546875" style="520" hidden="1" customWidth="1"/>
    <col min="6" max="6" width="2.85546875" style="19" customWidth="1"/>
    <col min="7" max="7" width="2.85546875" style="447" customWidth="1"/>
    <col min="8" max="8" width="2.85546875" style="148" customWidth="1"/>
    <col min="9" max="10" width="2.85546875" style="285" customWidth="1"/>
    <col min="11" max="11" width="66.85546875" style="148" customWidth="1"/>
    <col min="12" max="12" width="6.42578125" style="148" customWidth="1"/>
    <col min="13" max="14" width="28.7109375" style="148" customWidth="1"/>
    <col min="15" max="15" width="2.7109375" style="14" customWidth="1"/>
    <col min="16" max="16" width="4.140625" style="11" bestFit="1" customWidth="1"/>
    <col min="17" max="17" width="4.42578125" style="11" bestFit="1" customWidth="1"/>
    <col min="18" max="18" width="2.7109375" style="11" customWidth="1"/>
    <col min="19" max="16384" width="9.140625" style="11" hidden="1"/>
  </cols>
  <sheetData>
    <row r="1" spans="1:17" s="10" customFormat="1" ht="26.25" x14ac:dyDescent="0.4">
      <c r="A1" s="537"/>
      <c r="B1" s="538"/>
      <c r="C1" s="539"/>
      <c r="D1" s="539"/>
      <c r="E1" s="539"/>
      <c r="F1" s="17"/>
      <c r="G1" s="437" t="str">
        <f>IF(jazyk="česky","VÝKAZ ZISKU A ZTRÁTY",IF(jazyk="anglicky","INCOME STATEMENT classification by nature",IF(jazyk="německy","GEWINN- UND VERLUSTRECHNUNG   Gesamtkostenverfahren","-")))</f>
        <v>VÝKAZ ZISKU A ZTRÁTY</v>
      </c>
      <c r="H1" s="69"/>
      <c r="I1" s="69"/>
      <c r="J1" s="69"/>
      <c r="K1" s="69"/>
      <c r="L1" s="70"/>
      <c r="M1" s="548"/>
      <c r="N1" s="152">
        <f>INDEX!C6</f>
        <v>0</v>
      </c>
      <c r="O1" s="9"/>
    </row>
    <row r="2" spans="1:17" s="13" customFormat="1" ht="15.75" x14ac:dyDescent="0.2">
      <c r="A2" s="540"/>
      <c r="B2" s="518"/>
      <c r="C2" s="517"/>
      <c r="D2" s="517"/>
      <c r="E2" s="517"/>
      <c r="F2" s="22"/>
      <c r="G2" s="438" t="str">
        <f>CONCATENATE(IF(jazyk="česky","ke dni",IF(jazyk="anglicky","as at",IF(jazyk="německy","zum","-"))),"   ",DAY(INDEX!D11),".",MONTH(INDEX!D11),".",YEAR(INDEX!D11))</f>
        <v>ke dni   0.1.1900</v>
      </c>
      <c r="H2" s="415"/>
      <c r="I2" s="415"/>
      <c r="J2" s="415"/>
      <c r="K2" s="72"/>
      <c r="L2" s="73"/>
      <c r="M2" s="74"/>
      <c r="N2" s="75">
        <f>INDEX!C8</f>
        <v>0</v>
      </c>
      <c r="O2" s="12"/>
    </row>
    <row r="3" spans="1:17" s="13" customFormat="1" ht="15.75" x14ac:dyDescent="0.2">
      <c r="A3" s="540"/>
      <c r="B3" s="518"/>
      <c r="C3" s="517"/>
      <c r="D3" s="517"/>
      <c r="E3" s="517"/>
      <c r="F3" s="23"/>
      <c r="G3" s="439" t="str">
        <f>CONCATENATE("(",VLOOKUP(zaokr,INDEX!I17:J18,2,0),")")</f>
        <v>(v celých Kč)</v>
      </c>
      <c r="H3" s="416"/>
      <c r="I3" s="416"/>
      <c r="J3" s="416"/>
      <c r="K3" s="74"/>
      <c r="L3" s="77"/>
      <c r="M3" s="78"/>
      <c r="N3" s="79">
        <f>INDEX!C4</f>
        <v>0</v>
      </c>
      <c r="O3" s="12"/>
    </row>
    <row r="4" spans="1:17" s="13" customFormat="1" ht="24" thickBot="1" x14ac:dyDescent="0.3">
      <c r="A4" s="540"/>
      <c r="B4" s="518"/>
      <c r="C4" s="517"/>
      <c r="D4" s="517"/>
      <c r="E4" s="517"/>
      <c r="F4" s="18"/>
      <c r="G4" s="440"/>
      <c r="H4" s="416"/>
      <c r="I4" s="416"/>
      <c r="J4" s="416"/>
      <c r="K4" s="74"/>
      <c r="L4" s="80"/>
      <c r="M4" s="81"/>
      <c r="N4" s="74"/>
      <c r="O4" s="12"/>
    </row>
    <row r="5" spans="1:17" x14ac:dyDescent="0.25">
      <c r="G5" s="555" t="str">
        <f>IF(jazyk="česky","Označení",IF(jazyk="anglicky","Ident.",IF(jazyk="německy","Ident.","-")))</f>
        <v>Označení</v>
      </c>
      <c r="H5" s="568"/>
      <c r="I5" s="568"/>
      <c r="J5" s="569"/>
      <c r="K5" s="82" t="str">
        <f>IF(jazyk="česky","TEXT",IF(jazyk="anglicky","Ident.",IF(jazyk="německy","Ident.","-")))</f>
        <v>TEXT</v>
      </c>
      <c r="L5" s="83" t="str">
        <f>IF(jazyk="česky","Číslo",IF(jazyk="anglicky"," ",IF(jazyk="německy"," ","-")))</f>
        <v>Číslo</v>
      </c>
      <c r="M5" s="559" t="str">
        <f>IF(jazyk="česky","Skutečnost v účetním období",IF(jazyk="anglicky","Accounting Period",IF(jazyk="německy"," ","-")))</f>
        <v>Skutečnost v účetním období</v>
      </c>
      <c r="N5" s="573"/>
      <c r="O5" s="11"/>
      <c r="P5" s="211">
        <f>-(ROUND(SUMIFS(data!$Y:$Y,data!$C:$C,INDEX!$D$11,data!$M:$M,"Výsledovka"),0)+M62)-SUM(P8:P63)</f>
        <v>0</v>
      </c>
      <c r="Q5" s="211">
        <f>-(ROUND(SUMIFS(data!$Y:$Y,data!$C:$C,INDEX!$E$11,data!$M:$M,"Výsledovka"),0)+N62)-SUM(Q8:Q63)</f>
        <v>0</v>
      </c>
    </row>
    <row r="6" spans="1:17" ht="12.75" customHeight="1" x14ac:dyDescent="0.2">
      <c r="F6" s="24"/>
      <c r="G6" s="441"/>
      <c r="H6" s="417"/>
      <c r="I6" s="417"/>
      <c r="J6" s="418"/>
      <c r="K6" s="87"/>
      <c r="L6" s="88" t="str">
        <f>IF(jazyk="česky","řádku",IF(jazyk="anglicky","Line",IF(jazyk="německy","Zeile","-")))</f>
        <v>řádku</v>
      </c>
      <c r="M6" s="89" t="str">
        <f>IF(jazyk="česky","běžném",IF(jazyk="anglicky","current",IF(jazyk="německy","Laufende periode","-")))</f>
        <v>běžném</v>
      </c>
      <c r="N6" s="90" t="str">
        <f>IF(jazyk="česky","minulém",IF(jazyk="anglicky","prior",IF(jazyk="německy","Vorjahr","-")))</f>
        <v>minulém</v>
      </c>
      <c r="O6" s="11"/>
      <c r="P6" s="212" t="s">
        <v>340</v>
      </c>
      <c r="Q6" s="212" t="s">
        <v>341</v>
      </c>
    </row>
    <row r="7" spans="1:17" ht="13.5" customHeight="1" thickBot="1" x14ac:dyDescent="0.25">
      <c r="C7" s="520" t="s">
        <v>630</v>
      </c>
      <c r="D7" s="520" t="s">
        <v>748</v>
      </c>
      <c r="F7" s="24"/>
      <c r="G7" s="570" t="s">
        <v>257</v>
      </c>
      <c r="H7" s="571"/>
      <c r="I7" s="571"/>
      <c r="J7" s="572"/>
      <c r="K7" s="91" t="s">
        <v>235</v>
      </c>
      <c r="L7" s="92" t="s">
        <v>236</v>
      </c>
      <c r="M7" s="93">
        <v>1</v>
      </c>
      <c r="N7" s="94">
        <v>2</v>
      </c>
      <c r="O7" s="11"/>
      <c r="P7" s="209">
        <f>-(ROUND(SUMIFS(data!$Y:$Y,data!$C:$C,INDEX!$D$11,data!$M:$M,"Výsledovka"),0)+M62)</f>
        <v>0</v>
      </c>
      <c r="Q7" s="210">
        <f>-(ROUND(SUMIFS(data!$Y:$Y,data!$C:$C,INDEX!$E$11,data!$M:$M,"Výsledovka"),0)+N62)</f>
        <v>0</v>
      </c>
    </row>
    <row r="8" spans="1:17" ht="26.25" x14ac:dyDescent="0.2">
      <c r="A8" s="541">
        <v>-1</v>
      </c>
      <c r="B8" s="521" t="s">
        <v>513</v>
      </c>
      <c r="C8" s="520" t="s">
        <v>806</v>
      </c>
      <c r="D8" s="520" t="s">
        <v>747</v>
      </c>
      <c r="F8" s="29"/>
      <c r="G8" s="464" t="s">
        <v>239</v>
      </c>
      <c r="H8" s="465"/>
      <c r="I8" s="465"/>
      <c r="J8" s="466"/>
      <c r="K8" s="467" t="str">
        <f>VLOOKUP(L8,radky_V!A:M,13,0)</f>
        <v>Tržby za prodej výrobků a služeb</v>
      </c>
      <c r="L8" s="468">
        <v>1</v>
      </c>
      <c r="M8" s="469">
        <f>IF($D8="calc",ROUND($A8*SUMIFS(data!$Y:$Y,data!$C:$C,INDEX!$D$11,data!$N:$N,$B8,data!$S:$S,$L8),0)+P8,SUMIFS(M:M,$C:$C,D8))</f>
        <v>0</v>
      </c>
      <c r="N8" s="470">
        <f>IF($D8="calc",ROUND($A8*SUMIFS(data!$Y:$Y,data!$C:$C,INDEX!$E$11,data!$N:$N,$B8,data!$S:$S,$L8),0)+Q8,SUMIFS(N:N,$C:$C,D8))</f>
        <v>0</v>
      </c>
      <c r="O8" s="11"/>
      <c r="P8" s="208"/>
      <c r="Q8" s="208"/>
    </row>
    <row r="9" spans="1:17" ht="26.25" x14ac:dyDescent="0.2">
      <c r="A9" s="541">
        <v>-1</v>
      </c>
      <c r="B9" s="521" t="s">
        <v>513</v>
      </c>
      <c r="C9" s="520" t="s">
        <v>806</v>
      </c>
      <c r="D9" s="520" t="s">
        <v>747</v>
      </c>
      <c r="F9" s="29"/>
      <c r="G9" s="471" t="s">
        <v>249</v>
      </c>
      <c r="H9" s="472"/>
      <c r="I9" s="472"/>
      <c r="J9" s="473"/>
      <c r="K9" s="474" t="str">
        <f>VLOOKUP(L9,radky_V!A:M,13,0)</f>
        <v xml:space="preserve">Tržby za prodej zboží </v>
      </c>
      <c r="L9" s="475">
        <v>2</v>
      </c>
      <c r="M9" s="476">
        <f>IF($D9="calc",ROUND($A9*SUMIFS(data!$Y:$Y,data!$C:$C,INDEX!$D$11,data!$N:$N,$B9,data!$S:$S,$L9),0)+P9,SUMIFS(M:M,$C:$C,D9))</f>
        <v>0</v>
      </c>
      <c r="N9" s="477">
        <f>IF($D9="calc",ROUND($A9*SUMIFS(data!$Y:$Y,data!$C:$C,INDEX!$E$11,data!$N:$N,$B9,data!$S:$S,$L9),0)+Q9,SUMIFS(N:N,$C:$C,D9))</f>
        <v>0</v>
      </c>
      <c r="O9" s="11"/>
      <c r="P9" s="208"/>
      <c r="Q9" s="208"/>
    </row>
    <row r="10" spans="1:17" ht="26.25" customHeight="1" x14ac:dyDescent="0.2">
      <c r="A10" s="541">
        <v>1</v>
      </c>
      <c r="B10" s="521" t="s">
        <v>511</v>
      </c>
      <c r="C10" s="520" t="s">
        <v>806</v>
      </c>
      <c r="D10" s="520" t="s">
        <v>237</v>
      </c>
      <c r="F10" s="29"/>
      <c r="G10" s="478" t="s">
        <v>237</v>
      </c>
      <c r="H10" s="479"/>
      <c r="I10" s="479"/>
      <c r="J10" s="480"/>
      <c r="K10" s="481" t="str">
        <f>VLOOKUP(L10,radky_V!A:M,13,0)</f>
        <v>Výkonová spotřeba</v>
      </c>
      <c r="L10" s="482">
        <v>3</v>
      </c>
      <c r="M10" s="483">
        <f>IF($D10="calc",ROUND($A10*SUMIFS(data!$Y:$Y,data!$C:$C,INDEX!$D$11,data!$N:$N,$B10,data!$S:$S,$L10),0)+P10,SUMIFS(M:M,$C:$C,D10))</f>
        <v>0</v>
      </c>
      <c r="N10" s="484">
        <f>IF($D10="calc",ROUND($A10*SUMIFS(data!$Y:$Y,data!$C:$C,INDEX!$E$11,data!$N:$N,$B10,data!$S:$S,$L10),0)+Q10,SUMIFS(N:N,$C:$C,D10))</f>
        <v>0</v>
      </c>
      <c r="O10" s="11"/>
      <c r="P10" s="217"/>
      <c r="Q10" s="217"/>
    </row>
    <row r="11" spans="1:17" ht="26.25" x14ac:dyDescent="0.2">
      <c r="A11" s="541">
        <v>1</v>
      </c>
      <c r="B11" s="521" t="s">
        <v>511</v>
      </c>
      <c r="C11" s="520" t="str">
        <f t="shared" ref="C11:C13" si="0">IF(G11&gt;0,G11,IF(H11&gt;0,H11,C10))</f>
        <v>A.</v>
      </c>
      <c r="D11" s="520" t="s">
        <v>747</v>
      </c>
      <c r="F11" s="29"/>
      <c r="G11" s="442"/>
      <c r="H11" s="99" t="s">
        <v>237</v>
      </c>
      <c r="I11" s="99" t="s">
        <v>240</v>
      </c>
      <c r="J11" s="99"/>
      <c r="K11" s="420" t="str">
        <f>VLOOKUP(L11,radky_V!A:M,13,0)</f>
        <v>Náklady vynaložené na prodané zboží</v>
      </c>
      <c r="L11" s="421">
        <v>4</v>
      </c>
      <c r="M11" s="422">
        <f>IF($D11="calc",ROUND($A11*SUMIFS(data!$Y:$Y,data!$C:$C,INDEX!$D$11,data!$N:$N,$B11,data!$S:$S,$L11),0)+P11,SUMIFS(M:M,$C:$C,D11))</f>
        <v>0</v>
      </c>
      <c r="N11" s="423">
        <f>IF($D11="calc",ROUND($A11*SUMIFS(data!$Y:$Y,data!$C:$C,INDEX!$E$11,data!$N:$N,$B11,data!$S:$S,$L11),0)+Q11,SUMIFS(N:N,$C:$C,D11))</f>
        <v>0</v>
      </c>
      <c r="O11" s="11"/>
      <c r="P11" s="208"/>
      <c r="Q11" s="208"/>
    </row>
    <row r="12" spans="1:17" ht="26.25" x14ac:dyDescent="0.2">
      <c r="A12" s="541">
        <v>1</v>
      </c>
      <c r="B12" s="521" t="s">
        <v>511</v>
      </c>
      <c r="C12" s="520" t="str">
        <f t="shared" si="0"/>
        <v>A.</v>
      </c>
      <c r="D12" s="520" t="s">
        <v>747</v>
      </c>
      <c r="F12" s="29"/>
      <c r="G12" s="442"/>
      <c r="H12" s="99" t="s">
        <v>237</v>
      </c>
      <c r="I12" s="99" t="s">
        <v>241</v>
      </c>
      <c r="J12" s="99"/>
      <c r="K12" s="420" t="str">
        <f>VLOOKUP(L12,radky_V!A:M,13,0)</f>
        <v>Spotřeba materiálu a energie</v>
      </c>
      <c r="L12" s="421">
        <v>5</v>
      </c>
      <c r="M12" s="422">
        <f>IF($D12="calc",ROUND($A12*SUMIFS(data!$Y:$Y,data!$C:$C,INDEX!$D$11,data!$N:$N,$B12,data!$S:$S,$L12),0)+P12,SUMIFS(M:M,$C:$C,D12))</f>
        <v>0</v>
      </c>
      <c r="N12" s="423">
        <f>IF($D12="calc",ROUND($A12*SUMIFS(data!$Y:$Y,data!$C:$C,INDEX!$E$11,data!$N:$N,$B12,data!$S:$S,$L12),0)+Q12,SUMIFS(N:N,$C:$C,D12))</f>
        <v>0</v>
      </c>
      <c r="O12" s="11"/>
      <c r="P12" s="208"/>
      <c r="Q12" s="208"/>
    </row>
    <row r="13" spans="1:17" ht="26.25" x14ac:dyDescent="0.2">
      <c r="A13" s="541">
        <v>1</v>
      </c>
      <c r="B13" s="521" t="s">
        <v>511</v>
      </c>
      <c r="C13" s="520" t="str">
        <f t="shared" si="0"/>
        <v>A.</v>
      </c>
      <c r="D13" s="520" t="s">
        <v>747</v>
      </c>
      <c r="F13" s="29"/>
      <c r="G13" s="443"/>
      <c r="H13" s="424" t="s">
        <v>237</v>
      </c>
      <c r="I13" s="424" t="s">
        <v>242</v>
      </c>
      <c r="J13" s="424"/>
      <c r="K13" s="425" t="str">
        <f>VLOOKUP(L13,radky_V!A:M,13,0)</f>
        <v>Služby</v>
      </c>
      <c r="L13" s="426">
        <v>6</v>
      </c>
      <c r="M13" s="427">
        <f>IF($D13="calc",ROUND($A13*SUMIFS(data!$Y:$Y,data!$C:$C,INDEX!$D$11,data!$N:$N,$B13,data!$S:$S,$L13),0)+P13,SUMIFS(M:M,$C:$C,D13))</f>
        <v>0</v>
      </c>
      <c r="N13" s="428">
        <f>IF($D13="calc",ROUND($A13*SUMIFS(data!$Y:$Y,data!$C:$C,INDEX!$E$11,data!$N:$N,$B13,data!$S:$S,$L13),0)+Q13,SUMIFS(N:N,$C:$C,D13))</f>
        <v>0</v>
      </c>
      <c r="O13" s="11"/>
      <c r="P13" s="208"/>
      <c r="Q13" s="208"/>
    </row>
    <row r="14" spans="1:17" ht="26.25" x14ac:dyDescent="0.2">
      <c r="A14" s="541">
        <v>1</v>
      </c>
      <c r="B14" s="521" t="s">
        <v>511</v>
      </c>
      <c r="C14" s="520" t="s">
        <v>806</v>
      </c>
      <c r="D14" s="520" t="s">
        <v>747</v>
      </c>
      <c r="F14" s="29"/>
      <c r="G14" s="471" t="s">
        <v>238</v>
      </c>
      <c r="H14" s="472"/>
      <c r="I14" s="472"/>
      <c r="J14" s="473"/>
      <c r="K14" s="474" t="str">
        <f>VLOOKUP(L14,radky_V!A:M,13,0)</f>
        <v>Změna stavu zásob vlastní činnosti      +/-</v>
      </c>
      <c r="L14" s="475">
        <v>7</v>
      </c>
      <c r="M14" s="476">
        <f>IF($D14="calc",ROUND($A14*SUMIFS(data!$Y:$Y,data!$C:$C,INDEX!$D$11,data!$N:$N,$B14,data!$S:$S,$L14),0)+P14,SUMIFS(M:M,$C:$C,D14))</f>
        <v>0</v>
      </c>
      <c r="N14" s="477">
        <f>IF($D14="calc",ROUND($A14*SUMIFS(data!$Y:$Y,data!$C:$C,INDEX!$E$11,data!$N:$N,$B14,data!$S:$S,$L14),0)+Q14,SUMIFS(N:N,$C:$C,D14))</f>
        <v>0</v>
      </c>
      <c r="O14" s="11"/>
      <c r="P14" s="208"/>
      <c r="Q14" s="208"/>
    </row>
    <row r="15" spans="1:17" ht="26.25" x14ac:dyDescent="0.2">
      <c r="A15" s="541">
        <v>-1</v>
      </c>
      <c r="B15" s="521" t="s">
        <v>513</v>
      </c>
      <c r="C15" s="520" t="s">
        <v>806</v>
      </c>
      <c r="D15" s="520" t="s">
        <v>747</v>
      </c>
      <c r="F15" s="29"/>
      <c r="G15" s="471" t="s">
        <v>264</v>
      </c>
      <c r="H15" s="472"/>
      <c r="I15" s="472"/>
      <c r="J15" s="473"/>
      <c r="K15" s="474" t="str">
        <f>VLOOKUP(L15,radky_V!A:M,13,0)</f>
        <v>Aktivace</v>
      </c>
      <c r="L15" s="475">
        <v>8</v>
      </c>
      <c r="M15" s="476">
        <f>IF($D15="calc",ROUND($A15*SUMIFS(data!$Y:$Y,data!$C:$C,INDEX!$D$11,data!$N:$N,$B15,data!$S:$S,$L15),0)+P15,SUMIFS(M:M,$C:$C,D15))</f>
        <v>0</v>
      </c>
      <c r="N15" s="477">
        <f>IF($D15="calc",ROUND($A15*SUMIFS(data!$Y:$Y,data!$C:$C,INDEX!$E$11,data!$N:$N,$B15,data!$S:$S,$L15),0)+Q15,SUMIFS(N:N,$C:$C,D15))</f>
        <v>0</v>
      </c>
      <c r="O15" s="11"/>
      <c r="P15" s="208"/>
      <c r="Q15" s="208"/>
    </row>
    <row r="16" spans="1:17" ht="26.25" customHeight="1" x14ac:dyDescent="0.2">
      <c r="A16" s="541">
        <v>1</v>
      </c>
      <c r="B16" s="521" t="s">
        <v>511</v>
      </c>
      <c r="C16" s="520" t="s">
        <v>806</v>
      </c>
      <c r="D16" s="520" t="s">
        <v>273</v>
      </c>
      <c r="F16" s="29"/>
      <c r="G16" s="478" t="s">
        <v>273</v>
      </c>
      <c r="H16" s="479"/>
      <c r="I16" s="479"/>
      <c r="J16" s="480"/>
      <c r="K16" s="481" t="str">
        <f>VLOOKUP(L16,radky_V!A:M,13,0)</f>
        <v>Osobní náklady</v>
      </c>
      <c r="L16" s="482">
        <v>9</v>
      </c>
      <c r="M16" s="483">
        <f>IF($D16="calc",ROUND($A16*SUMIFS(data!$Y:$Y,data!$C:$C,INDEX!$D$11,data!$N:$N,$B16,data!$S:$S,$L16),0)+P16,SUMIFS(M:M,$C:$C,D16))</f>
        <v>0</v>
      </c>
      <c r="N16" s="484">
        <f>IF($D16="calc",ROUND($A16*SUMIFS(data!$Y:$Y,data!$C:$C,INDEX!$E$11,data!$N:$N,$B16,data!$S:$S,$L16),0)+Q16,SUMIFS(N:N,$C:$C,D16))</f>
        <v>0</v>
      </c>
      <c r="O16" s="11"/>
      <c r="P16" s="217"/>
      <c r="Q16" s="217"/>
    </row>
    <row r="17" spans="1:17" ht="26.25" x14ac:dyDescent="0.2">
      <c r="A17" s="541">
        <v>1</v>
      </c>
      <c r="B17" s="521" t="s">
        <v>511</v>
      </c>
      <c r="C17" s="520" t="s">
        <v>273</v>
      </c>
      <c r="D17" s="520" t="s">
        <v>747</v>
      </c>
      <c r="F17" s="29"/>
      <c r="G17" s="442"/>
      <c r="H17" s="99" t="s">
        <v>273</v>
      </c>
      <c r="I17" s="99" t="s">
        <v>240</v>
      </c>
      <c r="J17" s="99"/>
      <c r="K17" s="420" t="str">
        <f>VLOOKUP(L17,radky_V!A:M,13,0)</f>
        <v>Mzdové náklady</v>
      </c>
      <c r="L17" s="421">
        <v>10</v>
      </c>
      <c r="M17" s="422">
        <f>IF($D17="calc",ROUND($A17*SUMIFS(data!$Y:$Y,data!$C:$C,INDEX!$D$11,data!$N:$N,$B17,data!$S:$S,$L17),0)+P17,SUMIFS(M:M,$C:$C,D17))</f>
        <v>0</v>
      </c>
      <c r="N17" s="423">
        <f>IF($D17="calc",ROUND($A17*SUMIFS(data!$Y:$Y,data!$C:$C,INDEX!$E$11,data!$N:$N,$B17,data!$S:$S,$L17),0)+Q17,SUMIFS(N:N,$C:$C,D17))</f>
        <v>0</v>
      </c>
      <c r="O17" s="11"/>
      <c r="P17" s="208"/>
      <c r="Q17" s="208"/>
    </row>
    <row r="18" spans="1:17" ht="26.25" x14ac:dyDescent="0.2">
      <c r="A18" s="541">
        <v>1</v>
      </c>
      <c r="B18" s="521" t="s">
        <v>511</v>
      </c>
      <c r="C18" s="520" t="s">
        <v>273</v>
      </c>
      <c r="D18" s="520" t="s">
        <v>807</v>
      </c>
      <c r="F18" s="29"/>
      <c r="G18" s="442"/>
      <c r="H18" s="99" t="s">
        <v>273</v>
      </c>
      <c r="I18" s="99" t="s">
        <v>241</v>
      </c>
      <c r="J18" s="99"/>
      <c r="K18" s="420" t="str">
        <f>VLOOKUP(L18,radky_V!A:M,13,0)</f>
        <v>Náklady na sociální zabezpečení, zdravotní pojištění a ostatní náklady</v>
      </c>
      <c r="L18" s="421">
        <v>11</v>
      </c>
      <c r="M18" s="422">
        <f>IF($D18="calc",ROUND($A18*SUMIFS(data!$Y:$Y,data!$C:$C,INDEX!$D$11,data!$N:$N,$B18,data!$S:$S,$L18),0)+P18,SUMIFS(M:M,$C:$C,D18))</f>
        <v>0</v>
      </c>
      <c r="N18" s="423">
        <f>IF($D18="calc",ROUND($A18*SUMIFS(data!$Y:$Y,data!$C:$C,INDEX!$E$11,data!$N:$N,$B18,data!$S:$S,$L18),0)+Q18,SUMIFS(N:N,$C:$C,D18))</f>
        <v>0</v>
      </c>
      <c r="O18" s="11"/>
      <c r="P18" s="217"/>
      <c r="Q18" s="217"/>
    </row>
    <row r="19" spans="1:17" s="431" customFormat="1" ht="26.25" x14ac:dyDescent="0.2">
      <c r="A19" s="541">
        <v>1</v>
      </c>
      <c r="B19" s="521" t="s">
        <v>511</v>
      </c>
      <c r="C19" s="520" t="s">
        <v>807</v>
      </c>
      <c r="D19" s="542" t="s">
        <v>747</v>
      </c>
      <c r="E19" s="542"/>
      <c r="F19" s="429"/>
      <c r="G19" s="444"/>
      <c r="H19" s="377"/>
      <c r="I19" s="377"/>
      <c r="J19" s="377" t="s">
        <v>240</v>
      </c>
      <c r="K19" s="435" t="str">
        <f>VLOOKUP(L19,radky_V!A:M,13,0)</f>
        <v>Náklady na sociální zabezpečení a zdravotní pojištění</v>
      </c>
      <c r="L19" s="430">
        <v>12</v>
      </c>
      <c r="M19" s="531">
        <f>IF($D19="calc",ROUND($A19*SUMIFS(data!$Y:$Y,data!$C:$C,INDEX!$D$11,data!$N:$N,$B19,data!$S:$S,$L19),0)+P19,SUMIFS(M:M,$C:$C,D19))</f>
        <v>0</v>
      </c>
      <c r="N19" s="532">
        <f>IF($D19="calc",ROUND($A19*SUMIFS(data!$Y:$Y,data!$C:$C,INDEX!$E$11,data!$N:$N,$B19,data!$S:$S,$L19),0)+Q19,SUMIFS(N:N,$C:$C,D19))</f>
        <v>0</v>
      </c>
      <c r="P19" s="432"/>
      <c r="Q19" s="432"/>
    </row>
    <row r="20" spans="1:17" s="431" customFormat="1" ht="26.25" x14ac:dyDescent="0.2">
      <c r="A20" s="541">
        <v>1</v>
      </c>
      <c r="B20" s="521" t="s">
        <v>511</v>
      </c>
      <c r="C20" s="520" t="s">
        <v>807</v>
      </c>
      <c r="D20" s="542" t="s">
        <v>747</v>
      </c>
      <c r="E20" s="542"/>
      <c r="F20" s="429"/>
      <c r="G20" s="445"/>
      <c r="H20" s="433"/>
      <c r="I20" s="433"/>
      <c r="J20" s="433" t="s">
        <v>241</v>
      </c>
      <c r="K20" s="436" t="str">
        <f>VLOOKUP(L20,radky_V!A:M,13,0)</f>
        <v>Ostatní náklady</v>
      </c>
      <c r="L20" s="434">
        <v>13</v>
      </c>
      <c r="M20" s="546">
        <f>IF($D20="calc",ROUND($A20*SUMIFS(data!$Y:$Y,data!$C:$C,INDEX!$D$11,data!$N:$N,$B20,data!$S:$S,$L20),0)+P20,SUMIFS(M:M,$C:$C,D20))</f>
        <v>0</v>
      </c>
      <c r="N20" s="547">
        <f>IF($D20="calc",ROUND($A20*SUMIFS(data!$Y:$Y,data!$C:$C,INDEX!$E$11,data!$N:$N,$B20,data!$S:$S,$L20),0)+Q20,SUMIFS(N:N,$C:$C,D20))</f>
        <v>0</v>
      </c>
      <c r="P20" s="432"/>
      <c r="Q20" s="432"/>
    </row>
    <row r="21" spans="1:17" ht="26.25" customHeight="1" x14ac:dyDescent="0.2">
      <c r="A21" s="541">
        <v>1</v>
      </c>
      <c r="B21" s="521" t="s">
        <v>511</v>
      </c>
      <c r="C21" s="520" t="s">
        <v>806</v>
      </c>
      <c r="D21" s="520" t="s">
        <v>310</v>
      </c>
      <c r="F21" s="29"/>
      <c r="G21" s="478" t="s">
        <v>310</v>
      </c>
      <c r="H21" s="479"/>
      <c r="I21" s="479"/>
      <c r="J21" s="480"/>
      <c r="K21" s="481" t="str">
        <f>VLOOKUP(L21,radky_V!A:M,13,0)</f>
        <v>Úpravy hodnot v provozní oblasti</v>
      </c>
      <c r="L21" s="482">
        <v>14</v>
      </c>
      <c r="M21" s="483">
        <f>IF($D21="calc",ROUND($A21*SUMIFS(data!$Y:$Y,data!$C:$C,INDEX!$D$11,data!$N:$N,$B21,data!$S:$S,$L21),0)+P21,SUMIFS(M:M,$C:$C,D21))</f>
        <v>0</v>
      </c>
      <c r="N21" s="484">
        <f>IF($D21="calc",ROUND($A21*SUMIFS(data!$Y:$Y,data!$C:$C,INDEX!$E$11,data!$N:$N,$B21,data!$S:$S,$L21),0)+Q21,SUMIFS(N:N,$C:$C,D21))</f>
        <v>0</v>
      </c>
      <c r="O21" s="11"/>
      <c r="P21" s="217"/>
      <c r="Q21" s="217"/>
    </row>
    <row r="22" spans="1:17" ht="26.25" x14ac:dyDescent="0.2">
      <c r="A22" s="541">
        <v>1</v>
      </c>
      <c r="B22" s="521" t="s">
        <v>511</v>
      </c>
      <c r="C22" s="520" t="s">
        <v>310</v>
      </c>
      <c r="D22" s="520" t="s">
        <v>808</v>
      </c>
      <c r="F22" s="29"/>
      <c r="G22" s="442"/>
      <c r="H22" s="99" t="s">
        <v>310</v>
      </c>
      <c r="I22" s="99" t="s">
        <v>240</v>
      </c>
      <c r="J22" s="99"/>
      <c r="K22" s="420" t="str">
        <f>VLOOKUP(L22,radky_V!A:M,13,0)</f>
        <v>Úpravy hodnot dlouhodobého nehmotného a hmotného majetku</v>
      </c>
      <c r="L22" s="574">
        <v>15</v>
      </c>
      <c r="M22" s="422">
        <f>IF($D22="calc",ROUND($A22*SUMIFS(data!$Y:$Y,data!$C:$C,INDEX!$D$11,data!$N:$N,$B22,data!$S:$S,$L22),0)+P22,SUMIFS(M:M,$C:$C,D22))</f>
        <v>0</v>
      </c>
      <c r="N22" s="423">
        <f>IF($D22="calc",ROUND($A22*SUMIFS(data!$Y:$Y,data!$C:$C,INDEX!$E$11,data!$N:$N,$B22,data!$S:$S,$L22),0)+Q22,SUMIFS(N:N,$C:$C,D22))</f>
        <v>0</v>
      </c>
      <c r="O22" s="11"/>
      <c r="P22" s="217"/>
      <c r="Q22" s="217"/>
    </row>
    <row r="23" spans="1:17" s="431" customFormat="1" ht="26.25" x14ac:dyDescent="0.2">
      <c r="A23" s="541">
        <v>1</v>
      </c>
      <c r="B23" s="521" t="s">
        <v>511</v>
      </c>
      <c r="C23" s="520" t="s">
        <v>808</v>
      </c>
      <c r="D23" s="542" t="s">
        <v>747</v>
      </c>
      <c r="E23" s="542"/>
      <c r="F23" s="429"/>
      <c r="G23" s="444"/>
      <c r="H23" s="377"/>
      <c r="I23" s="377"/>
      <c r="J23" s="377" t="s">
        <v>240</v>
      </c>
      <c r="K23" s="435" t="str">
        <f>VLOOKUP(L23,radky_V!A:M,13,0)</f>
        <v>Úpravy hodnot dlouhodobého nehmotného a hmotného majetku - trvalé</v>
      </c>
      <c r="L23" s="430">
        <v>16</v>
      </c>
      <c r="M23" s="531">
        <f>IF($D23="calc",ROUND($A23*SUMIFS(data!$Y:$Y,data!$C:$C,INDEX!$D$11,data!$N:$N,$B23,data!$S:$S,$L23),0)+P23,SUMIFS(M:M,$C:$C,D23))</f>
        <v>0</v>
      </c>
      <c r="N23" s="532">
        <f>IF($D23="calc",ROUND($A23*SUMIFS(data!$Y:$Y,data!$C:$C,INDEX!$E$11,data!$N:$N,$B23,data!$S:$S,$L23),0)+Q23,SUMIFS(N:N,$C:$C,D23))</f>
        <v>0</v>
      </c>
      <c r="P23" s="432"/>
      <c r="Q23" s="432"/>
    </row>
    <row r="24" spans="1:17" s="431" customFormat="1" ht="26.25" x14ac:dyDescent="0.2">
      <c r="A24" s="541">
        <v>1</v>
      </c>
      <c r="B24" s="521" t="s">
        <v>511</v>
      </c>
      <c r="C24" s="520" t="s">
        <v>808</v>
      </c>
      <c r="D24" s="542" t="s">
        <v>747</v>
      </c>
      <c r="E24" s="542"/>
      <c r="F24" s="429"/>
      <c r="G24" s="444"/>
      <c r="H24" s="377"/>
      <c r="I24" s="377"/>
      <c r="J24" s="377" t="s">
        <v>241</v>
      </c>
      <c r="K24" s="435" t="str">
        <f>VLOOKUP(L24,radky_V!A:M,13,0)</f>
        <v>Úpravy hodnot dlouhodobého nehmotného a hmotného majetku - dočasné</v>
      </c>
      <c r="L24" s="430">
        <v>17</v>
      </c>
      <c r="M24" s="531">
        <f>IF($D24="calc",ROUND($A24*SUMIFS(data!$Y:$Y,data!$C:$C,INDEX!$D$11,data!$N:$N,$B24,data!$S:$S,$L24),0)+P24,SUMIFS(M:M,$C:$C,D24))</f>
        <v>0</v>
      </c>
      <c r="N24" s="532">
        <f>IF($D24="calc",ROUND($A24*SUMIFS(data!$Y:$Y,data!$C:$C,INDEX!$E$11,data!$N:$N,$B24,data!$S:$S,$L24),0)+Q24,SUMIFS(N:N,$C:$C,D24))</f>
        <v>0</v>
      </c>
      <c r="P24" s="432"/>
      <c r="Q24" s="432"/>
    </row>
    <row r="25" spans="1:17" ht="26.25" x14ac:dyDescent="0.2">
      <c r="A25" s="541">
        <v>1</v>
      </c>
      <c r="B25" s="521" t="s">
        <v>511</v>
      </c>
      <c r="C25" s="520" t="s">
        <v>310</v>
      </c>
      <c r="D25" s="520" t="s">
        <v>747</v>
      </c>
      <c r="F25" s="29"/>
      <c r="G25" s="442"/>
      <c r="H25" s="99" t="s">
        <v>310</v>
      </c>
      <c r="I25" s="99" t="s">
        <v>241</v>
      </c>
      <c r="J25" s="99"/>
      <c r="K25" s="420" t="str">
        <f>VLOOKUP(L25,radky_V!A:M,13,0)</f>
        <v>Úpravy hodnot zásob</v>
      </c>
      <c r="L25" s="421">
        <v>18</v>
      </c>
      <c r="M25" s="422">
        <f>IF($D25="calc",ROUND($A25*SUMIFS(data!$Y:$Y,data!$C:$C,INDEX!$D$11,data!$N:$N,$B25,data!$S:$S,$L25),0)+P25,SUMIFS(M:M,$C:$C,D25))</f>
        <v>0</v>
      </c>
      <c r="N25" s="423">
        <f>IF($D25="calc",ROUND($A25*SUMIFS(data!$Y:$Y,data!$C:$C,INDEX!$E$11,data!$N:$N,$B25,data!$S:$S,$L25),0)+Q25,SUMIFS(N:N,$C:$C,D25))</f>
        <v>0</v>
      </c>
      <c r="O25" s="11"/>
      <c r="P25" s="208"/>
      <c r="Q25" s="208"/>
    </row>
    <row r="26" spans="1:17" ht="26.25" x14ac:dyDescent="0.2">
      <c r="A26" s="541">
        <v>1</v>
      </c>
      <c r="B26" s="521" t="s">
        <v>511</v>
      </c>
      <c r="C26" s="520" t="s">
        <v>310</v>
      </c>
      <c r="D26" s="520" t="s">
        <v>747</v>
      </c>
      <c r="F26" s="29"/>
      <c r="G26" s="442"/>
      <c r="H26" s="99" t="s">
        <v>310</v>
      </c>
      <c r="I26" s="99" t="s">
        <v>242</v>
      </c>
      <c r="J26" s="99"/>
      <c r="K26" s="420" t="str">
        <f>VLOOKUP(L26,radky_V!A:M,13,0)</f>
        <v>Úpravy hodnot pohledávek</v>
      </c>
      <c r="L26" s="421">
        <v>19</v>
      </c>
      <c r="M26" s="422">
        <f>IF($D26="calc",ROUND($A26*SUMIFS(data!$Y:$Y,data!$C:$C,INDEX!$D$11,data!$N:$N,$B26,data!$S:$S,$L26),0)+P26,SUMIFS(M:M,$C:$C,D26))</f>
        <v>0</v>
      </c>
      <c r="N26" s="423">
        <f>IF($D26="calc",ROUND($A26*SUMIFS(data!$Y:$Y,data!$C:$C,INDEX!$E$11,data!$N:$N,$B26,data!$S:$S,$L26),0)+Q26,SUMIFS(N:N,$C:$C,D26))</f>
        <v>0</v>
      </c>
      <c r="O26" s="11"/>
      <c r="P26" s="208"/>
      <c r="Q26" s="208"/>
    </row>
    <row r="27" spans="1:17" ht="26.25" customHeight="1" x14ac:dyDescent="0.2">
      <c r="A27" s="541">
        <v>-1</v>
      </c>
      <c r="B27" s="521" t="s">
        <v>513</v>
      </c>
      <c r="C27" s="520" t="s">
        <v>806</v>
      </c>
      <c r="D27" s="520" t="s">
        <v>254</v>
      </c>
      <c r="F27" s="29"/>
      <c r="G27" s="478" t="s">
        <v>254</v>
      </c>
      <c r="H27" s="479"/>
      <c r="I27" s="479"/>
      <c r="J27" s="480"/>
      <c r="K27" s="481" t="str">
        <f>VLOOKUP(L27,radky_V!A:M,13,0)</f>
        <v>Ostatní provozní výnosy</v>
      </c>
      <c r="L27" s="482">
        <v>20</v>
      </c>
      <c r="M27" s="483">
        <f>IF($D27="calc",ROUND($A27*SUMIFS(data!$Y:$Y,data!$C:$C,INDEX!$D$11,data!$N:$N,$B27,data!$S:$S,$L27),0)+P27,SUMIFS(M:M,$C:$C,D27))</f>
        <v>0</v>
      </c>
      <c r="N27" s="484">
        <f>IF($D27="calc",ROUND($A27*SUMIFS(data!$Y:$Y,data!$C:$C,INDEX!$E$11,data!$N:$N,$B27,data!$S:$S,$L27),0)+Q27,SUMIFS(N:N,$C:$C,D27))</f>
        <v>0</v>
      </c>
      <c r="O27" s="11"/>
      <c r="P27" s="217"/>
      <c r="Q27" s="217"/>
    </row>
    <row r="28" spans="1:17" ht="26.25" x14ac:dyDescent="0.2">
      <c r="A28" s="541">
        <v>-1</v>
      </c>
      <c r="B28" s="521" t="s">
        <v>513</v>
      </c>
      <c r="C28" s="520" t="s">
        <v>254</v>
      </c>
      <c r="D28" s="520" t="s">
        <v>747</v>
      </c>
      <c r="F28" s="29"/>
      <c r="G28" s="442"/>
      <c r="H28" s="99" t="s">
        <v>254</v>
      </c>
      <c r="I28" s="99" t="s">
        <v>240</v>
      </c>
      <c r="J28" s="99"/>
      <c r="K28" s="420" t="str">
        <f>VLOOKUP(L28,radky_V!A:M,13,0)</f>
        <v xml:space="preserve">Tržby z prodaného dlouhodobého majetku </v>
      </c>
      <c r="L28" s="574">
        <v>21</v>
      </c>
      <c r="M28" s="422">
        <f>IF($D28="calc",ROUND($A28*SUMIFS(data!$Y:$Y,data!$C:$C,INDEX!$D$11,data!$N:$N,$B28,data!$S:$S,$L28),0)+P28,SUMIFS(M:M,$C:$C,D28))</f>
        <v>0</v>
      </c>
      <c r="N28" s="423">
        <f>IF($D28="calc",ROUND($A28*SUMIFS(data!$Y:$Y,data!$C:$C,INDEX!$E$11,data!$N:$N,$B28,data!$S:$S,$L28),0)+Q28,SUMIFS(N:N,$C:$C,D28))</f>
        <v>0</v>
      </c>
      <c r="O28" s="11"/>
      <c r="P28" s="208"/>
      <c r="Q28" s="208"/>
    </row>
    <row r="29" spans="1:17" ht="26.25" x14ac:dyDescent="0.2">
      <c r="A29" s="541">
        <v>-1</v>
      </c>
      <c r="B29" s="521" t="s">
        <v>513</v>
      </c>
      <c r="C29" s="520" t="s">
        <v>254</v>
      </c>
      <c r="D29" s="520" t="s">
        <v>747</v>
      </c>
      <c r="F29" s="29"/>
      <c r="G29" s="442"/>
      <c r="H29" s="99" t="s">
        <v>254</v>
      </c>
      <c r="I29" s="99" t="s">
        <v>241</v>
      </c>
      <c r="J29" s="99"/>
      <c r="K29" s="420" t="str">
        <f>VLOOKUP(L29,radky_V!A:M,13,0)</f>
        <v>Tržby z prodaného materiálu</v>
      </c>
      <c r="L29" s="421">
        <v>22</v>
      </c>
      <c r="M29" s="422">
        <f>IF($D29="calc",ROUND($A29*SUMIFS(data!$Y:$Y,data!$C:$C,INDEX!$D$11,data!$N:$N,$B29,data!$S:$S,$L29),0)+P29,SUMIFS(M:M,$C:$C,D29))</f>
        <v>0</v>
      </c>
      <c r="N29" s="423">
        <f>IF($D29="calc",ROUND($A29*SUMIFS(data!$Y:$Y,data!$C:$C,INDEX!$E$11,data!$N:$N,$B29,data!$S:$S,$L29),0)+Q29,SUMIFS(N:N,$C:$C,D29))</f>
        <v>0</v>
      </c>
      <c r="O29" s="11"/>
      <c r="P29" s="208"/>
      <c r="Q29" s="208"/>
    </row>
    <row r="30" spans="1:17" ht="26.25" x14ac:dyDescent="0.2">
      <c r="A30" s="541">
        <v>-1</v>
      </c>
      <c r="B30" s="521" t="s">
        <v>513</v>
      </c>
      <c r="C30" s="520" t="s">
        <v>254</v>
      </c>
      <c r="D30" s="520" t="s">
        <v>747</v>
      </c>
      <c r="F30" s="29"/>
      <c r="G30" s="442"/>
      <c r="H30" s="99" t="s">
        <v>254</v>
      </c>
      <c r="I30" s="99" t="s">
        <v>242</v>
      </c>
      <c r="J30" s="99"/>
      <c r="K30" s="420" t="str">
        <f>VLOOKUP(L30,radky_V!A:M,13,0)</f>
        <v>Jiné provozní výnosy</v>
      </c>
      <c r="L30" s="421">
        <v>23</v>
      </c>
      <c r="M30" s="422">
        <f>IF($D30="calc",ROUND($A30*SUMIFS(data!$Y:$Y,data!$C:$C,INDEX!$D$11,data!$N:$N,$B30,data!$S:$S,$L30),0)+P30,SUMIFS(M:M,$C:$C,D30))</f>
        <v>0</v>
      </c>
      <c r="N30" s="423">
        <f>IF($D30="calc",ROUND($A30*SUMIFS(data!$Y:$Y,data!$C:$C,INDEX!$E$11,data!$N:$N,$B30,data!$S:$S,$L30),0)+Q30,SUMIFS(N:N,$C:$C,D30))</f>
        <v>0</v>
      </c>
      <c r="O30" s="11"/>
      <c r="P30" s="208"/>
      <c r="Q30" s="208"/>
    </row>
    <row r="31" spans="1:17" ht="26.25" customHeight="1" x14ac:dyDescent="0.2">
      <c r="A31" s="541">
        <v>1</v>
      </c>
      <c r="B31" s="521" t="s">
        <v>511</v>
      </c>
      <c r="C31" s="520" t="s">
        <v>806</v>
      </c>
      <c r="D31" s="520" t="s">
        <v>311</v>
      </c>
      <c r="F31" s="29"/>
      <c r="G31" s="478" t="s">
        <v>311</v>
      </c>
      <c r="H31" s="479"/>
      <c r="I31" s="479"/>
      <c r="J31" s="480"/>
      <c r="K31" s="481" t="str">
        <f>VLOOKUP(L31,radky_V!A:M,13,0)</f>
        <v>Ostatní provozní náklady</v>
      </c>
      <c r="L31" s="482">
        <v>24</v>
      </c>
      <c r="M31" s="483">
        <f>IF($D31="calc",ROUND($A31*SUMIFS(data!$Y:$Y,data!$C:$C,INDEX!$D$11,data!$N:$N,$B31,data!$S:$S,$L31),0)+P31,SUMIFS(M:M,$C:$C,D31))</f>
        <v>0</v>
      </c>
      <c r="N31" s="484">
        <f>IF($D31="calc",ROUND($A31*SUMIFS(data!$Y:$Y,data!$C:$C,INDEX!$E$11,data!$N:$N,$B31,data!$S:$S,$L31),0)+Q31,SUMIFS(N:N,$C:$C,D31))</f>
        <v>0</v>
      </c>
      <c r="O31" s="11"/>
      <c r="P31" s="217"/>
      <c r="Q31" s="217"/>
    </row>
    <row r="32" spans="1:17" ht="26.25" x14ac:dyDescent="0.2">
      <c r="A32" s="541">
        <v>1</v>
      </c>
      <c r="B32" s="521" t="s">
        <v>511</v>
      </c>
      <c r="C32" s="520" t="s">
        <v>311</v>
      </c>
      <c r="D32" s="520" t="s">
        <v>747</v>
      </c>
      <c r="F32" s="29"/>
      <c r="G32" s="442"/>
      <c r="H32" s="99" t="s">
        <v>311</v>
      </c>
      <c r="I32" s="99" t="s">
        <v>240</v>
      </c>
      <c r="J32" s="99"/>
      <c r="K32" s="420" t="str">
        <f>VLOOKUP(L32,radky_V!A:M,13,0)</f>
        <v>Zůstatková cena prodaného dlouhodobého majetku</v>
      </c>
      <c r="L32" s="574">
        <v>25</v>
      </c>
      <c r="M32" s="422">
        <f>IF($D32="calc",ROUND($A32*SUMIFS(data!$Y:$Y,data!$C:$C,INDEX!$D$11,data!$N:$N,$B32,data!$S:$S,$L32),0)+P32,SUMIFS(M:M,$C:$C,D32))</f>
        <v>0</v>
      </c>
      <c r="N32" s="423">
        <f>IF($D32="calc",ROUND($A32*SUMIFS(data!$Y:$Y,data!$C:$C,INDEX!$E$11,data!$N:$N,$B32,data!$S:$S,$L32),0)+Q32,SUMIFS(N:N,$C:$C,D32))</f>
        <v>0</v>
      </c>
      <c r="O32" s="11"/>
      <c r="P32" s="208"/>
      <c r="Q32" s="208"/>
    </row>
    <row r="33" spans="1:17" ht="26.25" x14ac:dyDescent="0.2">
      <c r="A33" s="541">
        <v>1</v>
      </c>
      <c r="B33" s="521" t="s">
        <v>511</v>
      </c>
      <c r="C33" s="520" t="s">
        <v>311</v>
      </c>
      <c r="D33" s="520" t="s">
        <v>747</v>
      </c>
      <c r="F33" s="29"/>
      <c r="G33" s="442"/>
      <c r="H33" s="99" t="s">
        <v>311</v>
      </c>
      <c r="I33" s="99" t="s">
        <v>241</v>
      </c>
      <c r="J33" s="99"/>
      <c r="K33" s="420" t="str">
        <f>VLOOKUP(L33,radky_V!A:M,13,0)</f>
        <v>Zůstatková cena prodaného materiálu</v>
      </c>
      <c r="L33" s="421">
        <v>26</v>
      </c>
      <c r="M33" s="422">
        <f>IF($D33="calc",ROUND($A33*SUMIFS(data!$Y:$Y,data!$C:$C,INDEX!$D$11,data!$N:$N,$B33,data!$S:$S,$L33),0)+P33,SUMIFS(M:M,$C:$C,D33))</f>
        <v>0</v>
      </c>
      <c r="N33" s="423">
        <f>IF($D33="calc",ROUND($A33*SUMIFS(data!$Y:$Y,data!$C:$C,INDEX!$E$11,data!$N:$N,$B33,data!$S:$S,$L33),0)+Q33,SUMIFS(N:N,$C:$C,D33))</f>
        <v>0</v>
      </c>
      <c r="O33" s="554" t="s">
        <v>616</v>
      </c>
      <c r="P33" s="208"/>
      <c r="Q33" s="208"/>
    </row>
    <row r="34" spans="1:17" ht="26.25" x14ac:dyDescent="0.2">
      <c r="A34" s="541">
        <v>1</v>
      </c>
      <c r="B34" s="521" t="s">
        <v>511</v>
      </c>
      <c r="C34" s="520" t="s">
        <v>311</v>
      </c>
      <c r="D34" s="520" t="s">
        <v>747</v>
      </c>
      <c r="F34" s="29"/>
      <c r="G34" s="442"/>
      <c r="H34" s="99" t="s">
        <v>311</v>
      </c>
      <c r="I34" s="99" t="s">
        <v>242</v>
      </c>
      <c r="J34" s="99"/>
      <c r="K34" s="420" t="str">
        <f>VLOOKUP(L34,radky_V!A:M,13,0)</f>
        <v>Daně a poplatky</v>
      </c>
      <c r="L34" s="421">
        <v>27</v>
      </c>
      <c r="M34" s="422">
        <f>IF($D34="calc",ROUND($A34*SUMIFS(data!$Y:$Y,data!$C:$C,INDEX!$D$11,data!$N:$N,$B34,data!$S:$S,$L34),0)+P34,SUMIFS(M:M,$C:$C,D34))</f>
        <v>0</v>
      </c>
      <c r="N34" s="423">
        <f>IF($D34="calc",ROUND($A34*SUMIFS(data!$Y:$Y,data!$C:$C,INDEX!$E$11,data!$N:$N,$B34,data!$S:$S,$L34),0)+Q34,SUMIFS(N:N,$C:$C,D34))</f>
        <v>0</v>
      </c>
      <c r="O34" s="554"/>
      <c r="P34" s="208"/>
      <c r="Q34" s="208"/>
    </row>
    <row r="35" spans="1:17" ht="26.25" x14ac:dyDescent="0.2">
      <c r="A35" s="541">
        <v>1</v>
      </c>
      <c r="B35" s="521" t="s">
        <v>511</v>
      </c>
      <c r="C35" s="520" t="s">
        <v>311</v>
      </c>
      <c r="D35" s="520" t="s">
        <v>747</v>
      </c>
      <c r="F35" s="29"/>
      <c r="G35" s="442"/>
      <c r="H35" s="99" t="s">
        <v>311</v>
      </c>
      <c r="I35" s="99" t="s">
        <v>243</v>
      </c>
      <c r="J35" s="99"/>
      <c r="K35" s="420" t="str">
        <f>VLOOKUP(L35,radky_V!A:M,13,0)</f>
        <v>Rezervy v provozní oblasti a komplexní náklady příštích období</v>
      </c>
      <c r="L35" s="421">
        <v>28</v>
      </c>
      <c r="M35" s="422">
        <f>IF($D35="calc",ROUND($A35*SUMIFS(data!$Y:$Y,data!$C:$C,INDEX!$D$11,data!$N:$N,$B35,data!$S:$S,$L35),0)+P35,SUMIFS(M:M,$C:$C,D35))</f>
        <v>0</v>
      </c>
      <c r="N35" s="423">
        <f>IF($D35="calc",ROUND($A35*SUMIFS(data!$Y:$Y,data!$C:$C,INDEX!$E$11,data!$N:$N,$B35,data!$S:$S,$L35),0)+Q35,SUMIFS(N:N,$C:$C,D35))</f>
        <v>0</v>
      </c>
      <c r="O35" s="554"/>
      <c r="P35" s="208"/>
      <c r="Q35" s="208"/>
    </row>
    <row r="36" spans="1:17" ht="26.25" x14ac:dyDescent="0.2">
      <c r="A36" s="541">
        <v>1</v>
      </c>
      <c r="B36" s="521" t="s">
        <v>511</v>
      </c>
      <c r="C36" s="520" t="s">
        <v>311</v>
      </c>
      <c r="D36" s="520" t="s">
        <v>747</v>
      </c>
      <c r="F36" s="29"/>
      <c r="G36" s="442"/>
      <c r="H36" s="99" t="s">
        <v>311</v>
      </c>
      <c r="I36" s="99" t="s">
        <v>244</v>
      </c>
      <c r="J36" s="99"/>
      <c r="K36" s="420" t="str">
        <f>VLOOKUP(L36,radky_V!A:M,13,0)</f>
        <v>Jiné provozní náklady</v>
      </c>
      <c r="L36" s="421">
        <v>29</v>
      </c>
      <c r="M36" s="422">
        <f>IF($D36="calc",ROUND($A36*SUMIFS(data!$Y:$Y,data!$C:$C,INDEX!$D$11,data!$N:$N,$B36,data!$S:$S,$L36),0)+P36,SUMIFS(M:M,$C:$C,D36))</f>
        <v>0</v>
      </c>
      <c r="N36" s="423">
        <f>IF($D36="calc",ROUND($A36*SUMIFS(data!$Y:$Y,data!$C:$C,INDEX!$E$11,data!$N:$N,$B36,data!$S:$S,$L36),0)+Q36,SUMIFS(N:N,$C:$C,D36))</f>
        <v>0</v>
      </c>
      <c r="O36" s="554"/>
      <c r="P36" s="208"/>
      <c r="Q36" s="208"/>
    </row>
    <row r="37" spans="1:17" ht="26.25" customHeight="1" thickBot="1" x14ac:dyDescent="0.25">
      <c r="B37" s="521" t="s">
        <v>513</v>
      </c>
      <c r="D37" s="520" t="s">
        <v>806</v>
      </c>
      <c r="F37" s="29"/>
      <c r="G37" s="448" t="s">
        <v>262</v>
      </c>
      <c r="H37" s="449"/>
      <c r="I37" s="449"/>
      <c r="J37" s="450"/>
      <c r="K37" s="451" t="str">
        <f>VLOOKUP(L37,radky_V!A:M,13,0)</f>
        <v>Provozní výsledek hospodaření      +/-</v>
      </c>
      <c r="L37" s="452">
        <v>30</v>
      </c>
      <c r="M37" s="453">
        <f>SUMIFS(M:M,$C:$C,$D37,$B:$B,"Výnosy")-SUMIFS(M:M,$C:$C,$D37,$B:$B,"Náklady")</f>
        <v>0</v>
      </c>
      <c r="N37" s="454">
        <f>SUMIFS(N:N,$C:$C,$D37,$B:$B,"Výnosy")-SUMIFS(N:N,$C:$C,$D37,$B:$B,"Náklady")</f>
        <v>0</v>
      </c>
      <c r="O37" s="554"/>
      <c r="P37" s="217"/>
      <c r="Q37" s="217"/>
    </row>
    <row r="38" spans="1:17" ht="26.25" customHeight="1" x14ac:dyDescent="0.2">
      <c r="A38" s="541">
        <v>-1</v>
      </c>
      <c r="B38" s="521" t="s">
        <v>513</v>
      </c>
      <c r="C38" s="520" t="s">
        <v>809</v>
      </c>
      <c r="D38" s="520" t="s">
        <v>272</v>
      </c>
      <c r="F38" s="29"/>
      <c r="G38" s="478" t="s">
        <v>272</v>
      </c>
      <c r="H38" s="479"/>
      <c r="I38" s="479"/>
      <c r="J38" s="480"/>
      <c r="K38" s="481" t="str">
        <f>VLOOKUP(L38,radky_V!A:M,13,0)</f>
        <v>Výnosy z dlouhodobého finančního majetku - podíly</v>
      </c>
      <c r="L38" s="482">
        <v>31</v>
      </c>
      <c r="M38" s="483">
        <f>IF($D38="calc",ROUND($A38*SUMIFS(data!$Y:$Y,data!$C:$C,INDEX!$D$11,data!$N:$N,$B38,data!$S:$S,$L38),0)+P38,SUMIFS(M:M,$C:$C,D38))</f>
        <v>0</v>
      </c>
      <c r="N38" s="484">
        <f>IF($D38="calc",ROUND($A38*SUMIFS(data!$Y:$Y,data!$C:$C,INDEX!$E$11,data!$N:$N,$B38,data!$S:$S,$L38),0)+Q38,SUMIFS(N:N,$C:$C,D38))</f>
        <v>0</v>
      </c>
      <c r="O38" s="11"/>
      <c r="P38" s="217"/>
      <c r="Q38" s="217"/>
    </row>
    <row r="39" spans="1:17" ht="26.25" x14ac:dyDescent="0.2">
      <c r="A39" s="541">
        <v>-1</v>
      </c>
      <c r="B39" s="521" t="s">
        <v>513</v>
      </c>
      <c r="C39" s="520" t="s">
        <v>272</v>
      </c>
      <c r="D39" s="520" t="s">
        <v>747</v>
      </c>
      <c r="F39" s="29"/>
      <c r="G39" s="442"/>
      <c r="H39" s="99" t="s">
        <v>272</v>
      </c>
      <c r="I39" s="99" t="s">
        <v>240</v>
      </c>
      <c r="J39" s="99"/>
      <c r="K39" s="420" t="str">
        <f>VLOOKUP(L39,radky_V!A:M,13,0)</f>
        <v>Výnosy z podílů - ovládaná nebo ovládající osoba</v>
      </c>
      <c r="L39" s="574">
        <v>32</v>
      </c>
      <c r="M39" s="422">
        <f>IF($D39="calc",ROUND($A39*SUMIFS(data!$Y:$Y,data!$C:$C,INDEX!$D$11,data!$N:$N,$B39,data!$S:$S,$L39),0)+P39,SUMIFS(M:M,$C:$C,D39))</f>
        <v>0</v>
      </c>
      <c r="N39" s="423">
        <f>IF($D39="calc",ROUND($A39*SUMIFS(data!$Y:$Y,data!$C:$C,INDEX!$E$11,data!$N:$N,$B39,data!$S:$S,$L39),0)+Q39,SUMIFS(N:N,$C:$C,D39))</f>
        <v>0</v>
      </c>
      <c r="O39" s="11"/>
      <c r="P39" s="208"/>
      <c r="Q39" s="208"/>
    </row>
    <row r="40" spans="1:17" ht="26.25" x14ac:dyDescent="0.2">
      <c r="A40" s="541">
        <v>-1</v>
      </c>
      <c r="B40" s="521" t="s">
        <v>513</v>
      </c>
      <c r="C40" s="520" t="s">
        <v>272</v>
      </c>
      <c r="D40" s="520" t="s">
        <v>747</v>
      </c>
      <c r="F40" s="29"/>
      <c r="G40" s="442"/>
      <c r="H40" s="99" t="s">
        <v>744</v>
      </c>
      <c r="I40" s="99" t="s">
        <v>241</v>
      </c>
      <c r="J40" s="99"/>
      <c r="K40" s="420" t="str">
        <f>VLOOKUP(L40,radky_V!A:M,13,0)</f>
        <v>Ostatní výnosy z podílů</v>
      </c>
      <c r="L40" s="574">
        <v>33</v>
      </c>
      <c r="M40" s="422">
        <f>IF($D40="calc",ROUND($A40*SUMIFS(data!$Y:$Y,data!$C:$C,INDEX!$D$11,data!$N:$N,$B40,data!$S:$S,$L40),0)+P40,SUMIFS(M:M,$C:$C,D40))</f>
        <v>0</v>
      </c>
      <c r="N40" s="423">
        <f>IF($D40="calc",ROUND($A40*SUMIFS(data!$Y:$Y,data!$C:$C,INDEX!$E$11,data!$N:$N,$B40,data!$S:$S,$L40),0)+Q40,SUMIFS(N:N,$C:$C,D40))</f>
        <v>0</v>
      </c>
      <c r="O40" s="11"/>
      <c r="P40" s="208"/>
      <c r="Q40" s="208"/>
    </row>
    <row r="41" spans="1:17" ht="26.25" x14ac:dyDescent="0.2">
      <c r="A41" s="541">
        <v>1</v>
      </c>
      <c r="B41" s="521" t="s">
        <v>511</v>
      </c>
      <c r="C41" s="520" t="s">
        <v>809</v>
      </c>
      <c r="D41" s="520" t="s">
        <v>747</v>
      </c>
      <c r="F41" s="29"/>
      <c r="G41" s="471" t="s">
        <v>312</v>
      </c>
      <c r="H41" s="472"/>
      <c r="I41" s="472"/>
      <c r="J41" s="473"/>
      <c r="K41" s="474" t="str">
        <f>VLOOKUP(L41,radky_V!A:M,13,0)</f>
        <v>Náklady vynaložené na prodané podíly</v>
      </c>
      <c r="L41" s="475">
        <v>34</v>
      </c>
      <c r="M41" s="476">
        <f>IF($D41="calc",ROUND($A41*SUMIFS(data!$Y:$Y,data!$C:$C,INDEX!$D$11,data!$N:$N,$B41,data!$S:$S,$L41),0)+P41,SUMIFS(M:M,$C:$C,D41))</f>
        <v>0</v>
      </c>
      <c r="N41" s="477">
        <f>IF($D41="calc",ROUND($A41*SUMIFS(data!$Y:$Y,data!$C:$C,INDEX!$E$11,data!$N:$N,$B41,data!$S:$S,$L41),0)+Q41,SUMIFS(N:N,$C:$C,D41))</f>
        <v>0</v>
      </c>
      <c r="O41" s="11"/>
      <c r="P41" s="208"/>
      <c r="Q41" s="208"/>
    </row>
    <row r="42" spans="1:17" ht="26.25" customHeight="1" x14ac:dyDescent="0.2">
      <c r="A42" s="541">
        <v>-1</v>
      </c>
      <c r="B42" s="521" t="s">
        <v>513</v>
      </c>
      <c r="C42" s="520" t="s">
        <v>809</v>
      </c>
      <c r="D42" s="520" t="s">
        <v>280</v>
      </c>
      <c r="F42" s="29"/>
      <c r="G42" s="478" t="s">
        <v>280</v>
      </c>
      <c r="H42" s="479"/>
      <c r="I42" s="479"/>
      <c r="J42" s="480"/>
      <c r="K42" s="481" t="str">
        <f>VLOOKUP(L42,radky_V!A:M,13,0)</f>
        <v>Výnosy z ostatního dlouhodobého finančního majetku</v>
      </c>
      <c r="L42" s="482">
        <v>35</v>
      </c>
      <c r="M42" s="483">
        <f>IF($D42="calc",ROUND($A42*SUMIFS(data!$Y:$Y,data!$C:$C,INDEX!$D$11,data!$N:$N,$B42,data!$S:$S,$L42),0)+P42,SUMIFS(M:M,$C:$C,D42))</f>
        <v>0</v>
      </c>
      <c r="N42" s="484">
        <f>IF($D42="calc",ROUND($A42*SUMIFS(data!$Y:$Y,data!$C:$C,INDEX!$E$11,data!$N:$N,$B42,data!$S:$S,$L42),0)+Q42,SUMIFS(N:N,$C:$C,D42))</f>
        <v>0</v>
      </c>
      <c r="O42" s="11"/>
      <c r="P42" s="217"/>
      <c r="Q42" s="217"/>
    </row>
    <row r="43" spans="1:17" ht="26.25" x14ac:dyDescent="0.2">
      <c r="A43" s="541">
        <v>-1</v>
      </c>
      <c r="B43" s="521" t="s">
        <v>513</v>
      </c>
      <c r="C43" s="520" t="s">
        <v>280</v>
      </c>
      <c r="D43" s="520" t="s">
        <v>747</v>
      </c>
      <c r="F43" s="29"/>
      <c r="G43" s="442"/>
      <c r="H43" s="99" t="s">
        <v>280</v>
      </c>
      <c r="I43" s="99" t="s">
        <v>240</v>
      </c>
      <c r="J43" s="99"/>
      <c r="K43" s="420" t="str">
        <f>VLOOKUP(L43,radky_V!A:M,13,0)</f>
        <v>Výnosy z ostatního dlouhodobého finančního majetku - ovládaná nebo ovládající osoba</v>
      </c>
      <c r="L43" s="574">
        <v>36</v>
      </c>
      <c r="M43" s="422">
        <f>IF($D43="calc",ROUND($A43*SUMIFS(data!$Y:$Y,data!$C:$C,INDEX!$D$11,data!$N:$N,$B43,data!$S:$S,$L43),0)+P43,SUMIFS(M:M,$C:$C,D43))</f>
        <v>0</v>
      </c>
      <c r="N43" s="423">
        <f>IF($D43="calc",ROUND($A43*SUMIFS(data!$Y:$Y,data!$C:$C,INDEX!$E$11,data!$N:$N,$B43,data!$S:$S,$L43),0)+Q43,SUMIFS(N:N,$C:$C,D43))</f>
        <v>0</v>
      </c>
      <c r="O43" s="11"/>
      <c r="P43" s="208"/>
      <c r="Q43" s="208"/>
    </row>
    <row r="44" spans="1:17" ht="26.25" x14ac:dyDescent="0.2">
      <c r="A44" s="541">
        <v>-1</v>
      </c>
      <c r="B44" s="521" t="s">
        <v>513</v>
      </c>
      <c r="C44" s="520" t="s">
        <v>280</v>
      </c>
      <c r="D44" s="520" t="s">
        <v>747</v>
      </c>
      <c r="F44" s="29"/>
      <c r="G44" s="442"/>
      <c r="H44" s="99" t="s">
        <v>280</v>
      </c>
      <c r="I44" s="99" t="s">
        <v>241</v>
      </c>
      <c r="J44" s="99"/>
      <c r="K44" s="420" t="str">
        <f>VLOOKUP(L44,radky_V!A:M,13,0)</f>
        <v>Ostatní výnosy z ostatního dlouhodobého finančního majetku</v>
      </c>
      <c r="L44" s="574">
        <v>37</v>
      </c>
      <c r="M44" s="422">
        <f>IF($D44="calc",ROUND($A44*SUMIFS(data!$Y:$Y,data!$C:$C,INDEX!$D$11,data!$N:$N,$B44,data!$S:$S,$L44),0)+P44,SUMIFS(M:M,$C:$C,D44))</f>
        <v>0</v>
      </c>
      <c r="N44" s="423">
        <f>IF($D44="calc",ROUND($A44*SUMIFS(data!$Y:$Y,data!$C:$C,INDEX!$E$11,data!$N:$N,$B44,data!$S:$S,$L44),0)+Q44,SUMIFS(N:N,$C:$C,D44))</f>
        <v>0</v>
      </c>
      <c r="O44" s="11"/>
      <c r="P44" s="208"/>
      <c r="Q44" s="208"/>
    </row>
    <row r="45" spans="1:17" ht="26.25" x14ac:dyDescent="0.2">
      <c r="A45" s="541">
        <v>1</v>
      </c>
      <c r="B45" s="521" t="s">
        <v>511</v>
      </c>
      <c r="C45" s="520" t="s">
        <v>809</v>
      </c>
      <c r="D45" s="520" t="s">
        <v>747</v>
      </c>
      <c r="F45" s="29"/>
      <c r="G45" s="471" t="s">
        <v>313</v>
      </c>
      <c r="H45" s="472"/>
      <c r="I45" s="472"/>
      <c r="J45" s="473"/>
      <c r="K45" s="474" t="str">
        <f>VLOOKUP(L45,radky_V!A:M,13,0)</f>
        <v>Náklady související s ostatním dlouhodobým finančním majetkem</v>
      </c>
      <c r="L45" s="475">
        <v>38</v>
      </c>
      <c r="M45" s="476">
        <f>IF($D45="calc",ROUND($A45*SUMIFS(data!$Y:$Y,data!$C:$C,INDEX!$D$11,data!$N:$N,$B45,data!$S:$S,$L45),0)+P45,SUMIFS(M:M,$C:$C,D45))</f>
        <v>0</v>
      </c>
      <c r="N45" s="477">
        <f>IF($D45="calc",ROUND($A45*SUMIFS(data!$Y:$Y,data!$C:$C,INDEX!$E$11,data!$N:$N,$B45,data!$S:$S,$L45),0)+Q45,SUMIFS(N:N,$C:$C,D45))</f>
        <v>0</v>
      </c>
      <c r="O45" s="11"/>
      <c r="P45" s="208"/>
      <c r="Q45" s="208"/>
    </row>
    <row r="46" spans="1:17" ht="26.25" customHeight="1" x14ac:dyDescent="0.2">
      <c r="A46" s="541">
        <v>-1</v>
      </c>
      <c r="B46" s="521" t="s">
        <v>513</v>
      </c>
      <c r="C46" s="520" t="s">
        <v>809</v>
      </c>
      <c r="D46" s="520" t="s">
        <v>322</v>
      </c>
      <c r="F46" s="29"/>
      <c r="G46" s="478" t="s">
        <v>322</v>
      </c>
      <c r="H46" s="479"/>
      <c r="I46" s="479"/>
      <c r="J46" s="480"/>
      <c r="K46" s="481" t="str">
        <f>VLOOKUP(L46,radky_V!A:M,13,0)</f>
        <v>Výnosové úroky a podobné výnosy</v>
      </c>
      <c r="L46" s="482">
        <v>39</v>
      </c>
      <c r="M46" s="483">
        <f>IF($D46="calc",ROUND($A46*SUMIFS(data!$Y:$Y,data!$C:$C,INDEX!$D$11,data!$N:$N,$B46,data!$S:$S,$L46),0)+P46,SUMIFS(M:M,$C:$C,D46))</f>
        <v>0</v>
      </c>
      <c r="N46" s="484">
        <f>IF($D46="calc",ROUND($A46*SUMIFS(data!$Y:$Y,data!$C:$C,INDEX!$E$11,data!$N:$N,$B46,data!$S:$S,$L46),0)+Q46,SUMIFS(N:N,$C:$C,D46))</f>
        <v>0</v>
      </c>
      <c r="O46" s="11"/>
      <c r="P46" s="217"/>
      <c r="Q46" s="217"/>
    </row>
    <row r="47" spans="1:17" ht="26.25" x14ac:dyDescent="0.2">
      <c r="A47" s="541">
        <v>-1</v>
      </c>
      <c r="B47" s="521" t="s">
        <v>513</v>
      </c>
      <c r="C47" s="520" t="s">
        <v>322</v>
      </c>
      <c r="D47" s="520" t="s">
        <v>747</v>
      </c>
      <c r="F47" s="29"/>
      <c r="G47" s="442"/>
      <c r="H47" s="99" t="s">
        <v>322</v>
      </c>
      <c r="I47" s="99">
        <v>1</v>
      </c>
      <c r="J47" s="99"/>
      <c r="K47" s="420" t="str">
        <f>VLOOKUP(L47,radky_V!A:M,13,0)</f>
        <v>Výnosové úroky a podobné výnosy - ovládaná nebo ovládající osoba</v>
      </c>
      <c r="L47" s="574">
        <v>40</v>
      </c>
      <c r="M47" s="422">
        <f>IF($D47="calc",ROUND($A47*SUMIFS(data!$Y:$Y,data!$C:$C,INDEX!$D$11,data!$N:$N,$B47,data!$S:$S,$L47),0)+P47,SUMIFS(M:M,$C:$C,D47))</f>
        <v>0</v>
      </c>
      <c r="N47" s="423">
        <f>IF($D47="calc",ROUND($A47*SUMIFS(data!$Y:$Y,data!$C:$C,INDEX!$E$11,data!$N:$N,$B47,data!$S:$S,$L47),0)+Q47,SUMIFS(N:N,$C:$C,D47))</f>
        <v>0</v>
      </c>
      <c r="O47" s="11"/>
      <c r="P47" s="208"/>
      <c r="Q47" s="208"/>
    </row>
    <row r="48" spans="1:17" ht="26.25" x14ac:dyDescent="0.2">
      <c r="A48" s="541">
        <v>-1</v>
      </c>
      <c r="B48" s="521" t="s">
        <v>513</v>
      </c>
      <c r="C48" s="520" t="s">
        <v>322</v>
      </c>
      <c r="D48" s="520" t="s">
        <v>747</v>
      </c>
      <c r="F48" s="29"/>
      <c r="G48" s="442"/>
      <c r="H48" s="99" t="s">
        <v>322</v>
      </c>
      <c r="I48" s="99" t="s">
        <v>241</v>
      </c>
      <c r="J48" s="99"/>
      <c r="K48" s="420" t="str">
        <f>VLOOKUP(L48,radky_V!A:M,13,0)</f>
        <v>Ostatní výnosové úroky a podobné výnosy</v>
      </c>
      <c r="L48" s="574">
        <v>41</v>
      </c>
      <c r="M48" s="422">
        <f>IF($D48="calc",ROUND($A48*SUMIFS(data!$Y:$Y,data!$C:$C,INDEX!$D$11,data!$N:$N,$B48,data!$S:$S,$L48),0)+P48,SUMIFS(M:M,$C:$C,D48))</f>
        <v>0</v>
      </c>
      <c r="N48" s="423">
        <f>IF($D48="calc",ROUND($A48*SUMIFS(data!$Y:$Y,data!$C:$C,INDEX!$E$11,data!$N:$N,$B48,data!$S:$S,$L48),0)+Q48,SUMIFS(N:N,$C:$C,D48))</f>
        <v>0</v>
      </c>
      <c r="O48" s="11"/>
      <c r="P48" s="208"/>
      <c r="Q48" s="208"/>
    </row>
    <row r="49" spans="1:17" ht="26.25" x14ac:dyDescent="0.2">
      <c r="A49" s="541">
        <v>1</v>
      </c>
      <c r="B49" s="521" t="s">
        <v>511</v>
      </c>
      <c r="C49" s="520" t="s">
        <v>809</v>
      </c>
      <c r="D49" s="520" t="s">
        <v>747</v>
      </c>
      <c r="F49" s="29"/>
      <c r="G49" s="471" t="s">
        <v>239</v>
      </c>
      <c r="H49" s="472"/>
      <c r="I49" s="472"/>
      <c r="J49" s="473"/>
      <c r="K49" s="474" t="str">
        <f>VLOOKUP(L49,radky_V!A:M,13,0)</f>
        <v>Úpravy hodnot a rezervy ve finanční oblasti</v>
      </c>
      <c r="L49" s="475">
        <v>42</v>
      </c>
      <c r="M49" s="476">
        <f>IF($D49="calc",ROUND($A49*SUMIFS(data!$Y:$Y,data!$C:$C,INDEX!$D$11,data!$N:$N,$B49,data!$S:$S,$L49),0)+P49,SUMIFS(M:M,$C:$C,D49))</f>
        <v>0</v>
      </c>
      <c r="N49" s="477">
        <f>IF($D49="calc",ROUND($A49*SUMIFS(data!$Y:$Y,data!$C:$C,INDEX!$E$11,data!$N:$N,$B49,data!$S:$S,$L49),0)+Q49,SUMIFS(N:N,$C:$C,D49))</f>
        <v>0</v>
      </c>
      <c r="O49" s="11"/>
      <c r="P49" s="208"/>
      <c r="Q49" s="208"/>
    </row>
    <row r="50" spans="1:17" ht="26.25" customHeight="1" x14ac:dyDescent="0.2">
      <c r="A50" s="541">
        <v>1</v>
      </c>
      <c r="B50" s="521" t="s">
        <v>511</v>
      </c>
      <c r="C50" s="520" t="s">
        <v>809</v>
      </c>
      <c r="D50" s="520" t="s">
        <v>323</v>
      </c>
      <c r="F50" s="29"/>
      <c r="G50" s="478" t="s">
        <v>323</v>
      </c>
      <c r="H50" s="479"/>
      <c r="I50" s="479"/>
      <c r="J50" s="480"/>
      <c r="K50" s="481" t="str">
        <f>VLOOKUP(L50,radky_V!A:M,13,0)</f>
        <v>Nákladové úroky a podobné náklady</v>
      </c>
      <c r="L50" s="482">
        <v>43</v>
      </c>
      <c r="M50" s="483">
        <f>IF($D50="calc",ROUND($A50*SUMIFS(data!$Y:$Y,data!$C:$C,INDEX!$D$11,data!$N:$N,$B50,data!$S:$S,$L50),0)+P50,SUMIFS(M:M,$C:$C,D50))</f>
        <v>0</v>
      </c>
      <c r="N50" s="484">
        <f>IF($D50="calc",ROUND($A50*SUMIFS(data!$Y:$Y,data!$C:$C,INDEX!$E$11,data!$N:$N,$B50,data!$S:$S,$L50),0)+Q50,SUMIFS(N:N,$C:$C,D50))</f>
        <v>0</v>
      </c>
      <c r="O50" s="11"/>
      <c r="P50" s="217"/>
      <c r="Q50" s="217"/>
    </row>
    <row r="51" spans="1:17" ht="26.25" x14ac:dyDescent="0.2">
      <c r="A51" s="541">
        <v>1</v>
      </c>
      <c r="B51" s="521" t="s">
        <v>511</v>
      </c>
      <c r="C51" s="520" t="s">
        <v>323</v>
      </c>
      <c r="D51" s="520" t="s">
        <v>747</v>
      </c>
      <c r="F51" s="29"/>
      <c r="G51" s="442"/>
      <c r="H51" s="99" t="s">
        <v>323</v>
      </c>
      <c r="I51" s="99" t="s">
        <v>240</v>
      </c>
      <c r="J51" s="99"/>
      <c r="K51" s="420" t="str">
        <f>VLOOKUP(L51,radky_V!A:M,13,0)</f>
        <v>Nákladové úroky a podobné náklady - ovládaná nebo ovládající osoba</v>
      </c>
      <c r="L51" s="574">
        <v>44</v>
      </c>
      <c r="M51" s="422">
        <f>IF($D51="calc",ROUND($A51*SUMIFS(data!$Y:$Y,data!$C:$C,INDEX!$D$11,data!$N:$N,$B51,data!$S:$S,$L51),0)+P51,SUMIFS(M:M,$C:$C,D51))</f>
        <v>0</v>
      </c>
      <c r="N51" s="423">
        <f>IF($D51="calc",ROUND($A51*SUMIFS(data!$Y:$Y,data!$C:$C,INDEX!$E$11,data!$N:$N,$B51,data!$S:$S,$L51),0)+Q51,SUMIFS(N:N,$C:$C,D51))</f>
        <v>0</v>
      </c>
      <c r="O51" s="11"/>
      <c r="P51" s="208"/>
      <c r="Q51" s="208"/>
    </row>
    <row r="52" spans="1:17" ht="26.25" x14ac:dyDescent="0.2">
      <c r="A52" s="541">
        <v>1</v>
      </c>
      <c r="B52" s="521" t="s">
        <v>511</v>
      </c>
      <c r="C52" s="520" t="s">
        <v>323</v>
      </c>
      <c r="D52" s="520" t="s">
        <v>747</v>
      </c>
      <c r="F52" s="29"/>
      <c r="G52" s="442"/>
      <c r="H52" s="99" t="s">
        <v>323</v>
      </c>
      <c r="I52" s="99" t="s">
        <v>241</v>
      </c>
      <c r="J52" s="99"/>
      <c r="K52" s="420" t="str">
        <f>VLOOKUP(L52,radky_V!A:M,13,0)</f>
        <v>Ostatní nákladové úroky a podobné náklady</v>
      </c>
      <c r="L52" s="574">
        <v>45</v>
      </c>
      <c r="M52" s="422">
        <f>IF($D52="calc",ROUND($A52*SUMIFS(data!$Y:$Y,data!$C:$C,INDEX!$D$11,data!$N:$N,$B52,data!$S:$S,$L52),0)+P52,SUMIFS(M:M,$C:$C,D52))</f>
        <v>0</v>
      </c>
      <c r="N52" s="423">
        <f>IF($D52="calc",ROUND($A52*SUMIFS(data!$Y:$Y,data!$C:$C,INDEX!$E$11,data!$N:$N,$B52,data!$S:$S,$L52),0)+Q52,SUMIFS(N:N,$C:$C,D52))</f>
        <v>0</v>
      </c>
      <c r="O52" s="11"/>
      <c r="P52" s="208"/>
      <c r="Q52" s="208"/>
    </row>
    <row r="53" spans="1:17" ht="26.25" x14ac:dyDescent="0.2">
      <c r="A53" s="541">
        <v>-1</v>
      </c>
      <c r="B53" s="521" t="s">
        <v>513</v>
      </c>
      <c r="C53" s="520" t="s">
        <v>809</v>
      </c>
      <c r="D53" s="520" t="s">
        <v>747</v>
      </c>
      <c r="F53" s="29"/>
      <c r="G53" s="471" t="s">
        <v>324</v>
      </c>
      <c r="H53" s="472"/>
      <c r="I53" s="472"/>
      <c r="J53" s="473"/>
      <c r="K53" s="474" t="str">
        <f>VLOOKUP(L53,radky_V!A:M,13,0)</f>
        <v>Ostatní finanční výnosy</v>
      </c>
      <c r="L53" s="475">
        <v>46</v>
      </c>
      <c r="M53" s="476">
        <f>IF($D53="calc",ROUND($A53*SUMIFS(data!$Y:$Y,data!$C:$C,INDEX!$D$11,data!$N:$N,$B53,data!$S:$S,$L53),0)+P53,SUMIFS(M:M,$C:$C,D53))</f>
        <v>0</v>
      </c>
      <c r="N53" s="477">
        <f>IF($D53="calc",ROUND($A53*SUMIFS(data!$Y:$Y,data!$C:$C,INDEX!$E$11,data!$N:$N,$B53,data!$S:$S,$L53),0)+Q53,SUMIFS(N:N,$C:$C,D53))</f>
        <v>0</v>
      </c>
      <c r="O53" s="11"/>
      <c r="P53" s="208"/>
      <c r="Q53" s="208"/>
    </row>
    <row r="54" spans="1:17" ht="26.25" x14ac:dyDescent="0.2">
      <c r="A54" s="541">
        <v>1</v>
      </c>
      <c r="B54" s="521" t="s">
        <v>511</v>
      </c>
      <c r="C54" s="520" t="s">
        <v>809</v>
      </c>
      <c r="D54" s="520" t="s">
        <v>747</v>
      </c>
      <c r="F54" s="29"/>
      <c r="G54" s="471" t="s">
        <v>325</v>
      </c>
      <c r="H54" s="472"/>
      <c r="I54" s="472"/>
      <c r="J54" s="473"/>
      <c r="K54" s="474" t="str">
        <f>VLOOKUP(L54,radky_V!A:M,13,0)</f>
        <v>Ostatní finanční náklady</v>
      </c>
      <c r="L54" s="475">
        <v>47</v>
      </c>
      <c r="M54" s="476">
        <f>IF($D54="calc",ROUND($A54*SUMIFS(data!$Y:$Y,data!$C:$C,INDEX!$D$11,data!$N:$N,$B54,data!$S:$S,$L54),0)+P54,SUMIFS(M:M,$C:$C,D54))</f>
        <v>0</v>
      </c>
      <c r="N54" s="477">
        <f>IF($D54="calc",ROUND($A54*SUMIFS(data!$Y:$Y,data!$C:$C,INDEX!$E$11,data!$N:$N,$B54,data!$S:$S,$L54),0)+Q54,SUMIFS(N:N,$C:$C,D54))</f>
        <v>0</v>
      </c>
      <c r="O54" s="11"/>
      <c r="P54" s="208"/>
      <c r="Q54" s="208"/>
    </row>
    <row r="55" spans="1:17" ht="27" thickBot="1" x14ac:dyDescent="0.25">
      <c r="B55" s="521" t="s">
        <v>262</v>
      </c>
      <c r="D55" s="520" t="s">
        <v>809</v>
      </c>
      <c r="F55" s="28"/>
      <c r="G55" s="448" t="s">
        <v>262</v>
      </c>
      <c r="H55" s="449"/>
      <c r="I55" s="449"/>
      <c r="J55" s="450"/>
      <c r="K55" s="451" t="str">
        <f>VLOOKUP(L55,radky_V!A:M,13,0)</f>
        <v>Finanční výsledek hospodaření      +/-</v>
      </c>
      <c r="L55" s="452">
        <v>48</v>
      </c>
      <c r="M55" s="453">
        <f>SUMIFS(M:M,$C:$C,$D55,$B:$B,"Výnosy")-SUMIFS(M:M,$C:$C,$D55,$B:$B,"Náklady")</f>
        <v>0</v>
      </c>
      <c r="N55" s="454">
        <f>SUMIFS(N:N,$C:$C,$D55,$B:$B,"Výnosy")-SUMIFS(N:N,$C:$C,$D55,$B:$B,"Náklady")</f>
        <v>0</v>
      </c>
      <c r="P55" s="217"/>
      <c r="Q55" s="217"/>
    </row>
    <row r="56" spans="1:17" ht="27" thickBot="1" x14ac:dyDescent="0.25">
      <c r="B56" s="521" t="s">
        <v>513</v>
      </c>
      <c r="C56" s="520" t="s">
        <v>810</v>
      </c>
      <c r="F56" s="28"/>
      <c r="G56" s="446" t="s">
        <v>262</v>
      </c>
      <c r="H56" s="172" t="s">
        <v>262</v>
      </c>
      <c r="I56" s="172"/>
      <c r="J56" s="419"/>
      <c r="K56" s="95" t="str">
        <f>VLOOKUP(L56,radky_V!A:M,13,0)</f>
        <v>Výsledek hospodaření před zdaněním      +/-</v>
      </c>
      <c r="L56" s="173">
        <v>49</v>
      </c>
      <c r="M56" s="96">
        <f>M37+M55</f>
        <v>0</v>
      </c>
      <c r="N56" s="97">
        <f>N37+N55</f>
        <v>0</v>
      </c>
      <c r="P56" s="217"/>
      <c r="Q56" s="217"/>
    </row>
    <row r="57" spans="1:17" ht="26.25" customHeight="1" x14ac:dyDescent="0.2">
      <c r="A57" s="541">
        <v>1</v>
      </c>
      <c r="B57" s="521" t="s">
        <v>511</v>
      </c>
      <c r="C57" s="520" t="s">
        <v>810</v>
      </c>
      <c r="D57" s="520" t="s">
        <v>326</v>
      </c>
      <c r="F57" s="29"/>
      <c r="G57" s="478" t="s">
        <v>326</v>
      </c>
      <c r="H57" s="479"/>
      <c r="I57" s="479"/>
      <c r="J57" s="480"/>
      <c r="K57" s="481" t="str">
        <f>VLOOKUP(L57,radky_V!A:M,13,0)</f>
        <v>Daň z příjmů</v>
      </c>
      <c r="L57" s="482">
        <v>50</v>
      </c>
      <c r="M57" s="483">
        <f>IF($D57="calc",ROUND($A57*SUMIFS(data!$Y:$Y,data!$C:$C,INDEX!$D$11,data!$N:$N,$B57,data!$S:$S,$L57),0)+P57,SUMIFS(M:M,$C:$C,D57))</f>
        <v>0</v>
      </c>
      <c r="N57" s="484">
        <f>IF($D57="calc",ROUND($A57*SUMIFS(data!$Y:$Y,data!$C:$C,INDEX!$E$11,data!$N:$N,$B57,data!$S:$S,$L57),0)+Q57,SUMIFS(N:N,$C:$C,D57))</f>
        <v>0</v>
      </c>
      <c r="O57" s="11"/>
      <c r="P57" s="217"/>
      <c r="Q57" s="217"/>
    </row>
    <row r="58" spans="1:17" ht="26.25" x14ac:dyDescent="0.2">
      <c r="A58" s="541">
        <v>1</v>
      </c>
      <c r="B58" s="521" t="s">
        <v>511</v>
      </c>
      <c r="C58" s="520" t="s">
        <v>326</v>
      </c>
      <c r="D58" s="520" t="s">
        <v>747</v>
      </c>
      <c r="F58" s="29"/>
      <c r="G58" s="442"/>
      <c r="H58" s="99" t="s">
        <v>326</v>
      </c>
      <c r="I58" s="99" t="s">
        <v>240</v>
      </c>
      <c r="J58" s="99"/>
      <c r="K58" s="420" t="str">
        <f>VLOOKUP(L58,radky_V!A:M,13,0)</f>
        <v>Daň z příjmů splatná</v>
      </c>
      <c r="L58" s="421">
        <v>51</v>
      </c>
      <c r="M58" s="422">
        <f>IF($D58="calc",ROUND($A58*SUMIFS(data!$Y:$Y,data!$C:$C,INDEX!$D$11,data!$N:$N,$B58,data!$S:$S,$L58),0)+P58,SUMIFS(M:M,$C:$C,D58))</f>
        <v>0</v>
      </c>
      <c r="N58" s="423">
        <f>IF($D58="calc",ROUND($A58*SUMIFS(data!$Y:$Y,data!$C:$C,INDEX!$E$11,data!$N:$N,$B58,data!$S:$S,$L58),0)+Q58,SUMIFS(N:N,$C:$C,D58))</f>
        <v>0</v>
      </c>
      <c r="O58" s="11"/>
      <c r="P58" s="208"/>
      <c r="Q58" s="208"/>
    </row>
    <row r="59" spans="1:17" ht="26.25" x14ac:dyDescent="0.2">
      <c r="A59" s="541">
        <v>1</v>
      </c>
      <c r="B59" s="521" t="s">
        <v>511</v>
      </c>
      <c r="C59" s="520" t="s">
        <v>326</v>
      </c>
      <c r="D59" s="520" t="s">
        <v>747</v>
      </c>
      <c r="F59" s="29"/>
      <c r="G59" s="442"/>
      <c r="H59" s="99" t="s">
        <v>326</v>
      </c>
      <c r="I59" s="99" t="s">
        <v>241</v>
      </c>
      <c r="J59" s="99"/>
      <c r="K59" s="420" t="str">
        <f>VLOOKUP(L59,radky_V!A:M,13,0)</f>
        <v>Daň z příjmů odložená</v>
      </c>
      <c r="L59" s="421">
        <v>52</v>
      </c>
      <c r="M59" s="422">
        <f>IF($D59="calc",ROUND($A59*SUMIFS(data!$Y:$Y,data!$C:$C,INDEX!$D$11,data!$N:$N,$B59,data!$S:$S,$L59),0)+P59,SUMIFS(M:M,$C:$C,D59))</f>
        <v>0</v>
      </c>
      <c r="N59" s="423">
        <f>IF($D59="calc",ROUND($A59*SUMIFS(data!$Y:$Y,data!$C:$C,INDEX!$E$11,data!$N:$N,$B59,data!$S:$S,$L59),0)+Q59,SUMIFS(N:N,$C:$C,D59))</f>
        <v>0</v>
      </c>
      <c r="O59" s="554" t="s">
        <v>616</v>
      </c>
      <c r="P59" s="208"/>
      <c r="Q59" s="208"/>
    </row>
    <row r="60" spans="1:17" ht="27" thickBot="1" x14ac:dyDescent="0.25">
      <c r="B60" s="521" t="s">
        <v>513</v>
      </c>
      <c r="D60" s="520" t="s">
        <v>810</v>
      </c>
      <c r="F60" s="28"/>
      <c r="G60" s="446" t="s">
        <v>262</v>
      </c>
      <c r="H60" s="172" t="s">
        <v>262</v>
      </c>
      <c r="I60" s="172"/>
      <c r="J60" s="419"/>
      <c r="K60" s="95" t="str">
        <f>VLOOKUP(L60,radky_V!A:M,13,0)</f>
        <v>Výsledek hospodaření po zdanění      +/-</v>
      </c>
      <c r="L60" s="173">
        <v>53</v>
      </c>
      <c r="M60" s="96">
        <f>SUMIFS(M:M,$C:$C,$D60,$B:$B,"Výnosy")-SUMIFS(M:M,$C:$C,$D60,$B:$B,"Náklady")</f>
        <v>0</v>
      </c>
      <c r="N60" s="97">
        <f>SUMIFS(N:N,$C:$C,$D60,$B:$B,"Výnosy")-SUMIFS(N:N,$C:$C,$D60,$B:$B,"Náklady")</f>
        <v>0</v>
      </c>
      <c r="O60" s="554"/>
      <c r="P60" s="217"/>
      <c r="Q60" s="217"/>
    </row>
    <row r="61" spans="1:17" ht="26.25" x14ac:dyDescent="0.2">
      <c r="A61" s="541">
        <v>-1</v>
      </c>
      <c r="B61" s="521" t="s">
        <v>513</v>
      </c>
      <c r="C61" s="520" t="s">
        <v>327</v>
      </c>
      <c r="D61" s="520" t="s">
        <v>747</v>
      </c>
      <c r="F61" s="29"/>
      <c r="G61" s="471" t="s">
        <v>745</v>
      </c>
      <c r="H61" s="472"/>
      <c r="I61" s="472"/>
      <c r="J61" s="473"/>
      <c r="K61" s="474" t="str">
        <f>VLOOKUP(L61,radky_V!A:M,13,0)</f>
        <v>Převod podílu na výsledku hospodaření společníkům      +/-</v>
      </c>
      <c r="L61" s="475">
        <v>54</v>
      </c>
      <c r="M61" s="476">
        <f>IF($D61="calc",ROUND($A61*SUMIFS(data!$Y:$Y,data!$C:$C,INDEX!$D$11,data!$N:$N,$B61,data!$S:$S,$L61),0)+P61,SUMIFS(M:M,$C:$C,D61))</f>
        <v>0</v>
      </c>
      <c r="N61" s="477">
        <f>IF($D61="calc",ROUND($A61*SUMIFS(data!$Y:$Y,data!$C:$C,INDEX!$E$11,data!$N:$N,$B61,data!$S:$S,$L61),0)+Q61,SUMIFS(N:N,$C:$C,D61))</f>
        <v>0</v>
      </c>
      <c r="O61" s="554"/>
      <c r="P61" s="208"/>
      <c r="Q61" s="208"/>
    </row>
    <row r="62" spans="1:17" ht="27" thickBot="1" x14ac:dyDescent="0.25">
      <c r="F62" s="28"/>
      <c r="G62" s="446" t="s">
        <v>262</v>
      </c>
      <c r="H62" s="172" t="s">
        <v>262</v>
      </c>
      <c r="I62" s="172" t="s">
        <v>262</v>
      </c>
      <c r="J62" s="419"/>
      <c r="K62" s="95" t="str">
        <f>VLOOKUP(L62,radky_V!A:M,13,0)</f>
        <v>Výsledek hospodaření za účetní období      +/-</v>
      </c>
      <c r="L62" s="173">
        <v>55</v>
      </c>
      <c r="M62" s="96">
        <f>M60+M61</f>
        <v>0</v>
      </c>
      <c r="N62" s="97">
        <f>N60+N61</f>
        <v>0</v>
      </c>
      <c r="O62" s="554"/>
      <c r="P62" s="217"/>
      <c r="Q62" s="217"/>
    </row>
    <row r="63" spans="1:17" s="161" customFormat="1" ht="40.5" customHeight="1" thickBot="1" x14ac:dyDescent="0.45">
      <c r="A63" s="543"/>
      <c r="B63" s="544"/>
      <c r="C63" s="545"/>
      <c r="D63" s="545"/>
      <c r="E63" s="545"/>
      <c r="F63" s="455"/>
      <c r="G63" s="456" t="s">
        <v>262</v>
      </c>
      <c r="H63" s="457"/>
      <c r="I63" s="457"/>
      <c r="J63" s="458"/>
      <c r="K63" s="459" t="str">
        <f>VLOOKUP(L63,radky_V!A:M,13,0)</f>
        <v>Čistý obrat za účetní období (I. + II. + III. + IV. + V. + VI. + VII.)</v>
      </c>
      <c r="L63" s="460">
        <v>56</v>
      </c>
      <c r="M63" s="461">
        <f>M8+M9+M27+M38+M42+M46+M53</f>
        <v>0</v>
      </c>
      <c r="N63" s="462">
        <f>N8+N9+N27+N38+N42+N46+N53</f>
        <v>0</v>
      </c>
      <c r="O63" s="554"/>
      <c r="P63" s="463"/>
      <c r="Q63" s="463"/>
    </row>
  </sheetData>
  <sheetProtection password="DD47" sheet="1" objects="1" scenarios="1"/>
  <mergeCells count="5">
    <mergeCell ref="G5:J5"/>
    <mergeCell ref="G7:J7"/>
    <mergeCell ref="M5:N5"/>
    <mergeCell ref="O33:O37"/>
    <mergeCell ref="O59:O63"/>
  </mergeCells>
  <conditionalFormatting sqref="P7:Q7">
    <cfRule type="cellIs" dxfId="268" priority="28" operator="equal">
      <formula>0</formula>
    </cfRule>
  </conditionalFormatting>
  <conditionalFormatting sqref="P8:Q9 P12:Q13 P35:Q36">
    <cfRule type="expression" dxfId="267" priority="27">
      <formula>P$7&lt;&gt;0</formula>
    </cfRule>
  </conditionalFormatting>
  <conditionalFormatting sqref="P11:Q11">
    <cfRule type="expression" dxfId="266" priority="26">
      <formula>P$7&lt;&gt;0</formula>
    </cfRule>
  </conditionalFormatting>
  <conditionalFormatting sqref="P19:Q20">
    <cfRule type="expression" dxfId="265" priority="19">
      <formula>P$7&lt;&gt;0</formula>
    </cfRule>
  </conditionalFormatting>
  <conditionalFormatting sqref="P14:Q14">
    <cfRule type="expression" dxfId="264" priority="24">
      <formula>P$7&lt;&gt;0</formula>
    </cfRule>
  </conditionalFormatting>
  <conditionalFormatting sqref="P15:Q15">
    <cfRule type="expression" dxfId="263" priority="23">
      <formula>P$7&lt;&gt;0</formula>
    </cfRule>
  </conditionalFormatting>
  <conditionalFormatting sqref="P61:Q61">
    <cfRule type="expression" dxfId="262" priority="1">
      <formula>P$7&lt;&gt;0</formula>
    </cfRule>
  </conditionalFormatting>
  <conditionalFormatting sqref="P17:Q17">
    <cfRule type="expression" dxfId="261" priority="20">
      <formula>P$7&lt;&gt;0</formula>
    </cfRule>
  </conditionalFormatting>
  <conditionalFormatting sqref="P23:Q24">
    <cfRule type="expression" dxfId="260" priority="17">
      <formula>P$7&lt;&gt;0</formula>
    </cfRule>
  </conditionalFormatting>
  <conditionalFormatting sqref="P25:Q26">
    <cfRule type="expression" dxfId="259" priority="15">
      <formula>P$7&lt;&gt;0</formula>
    </cfRule>
  </conditionalFormatting>
  <conditionalFormatting sqref="P28:Q30">
    <cfRule type="expression" dxfId="258" priority="13">
      <formula>P$7&lt;&gt;0</formula>
    </cfRule>
  </conditionalFormatting>
  <conditionalFormatting sqref="P32:Q36">
    <cfRule type="expression" dxfId="257" priority="12">
      <formula>P$7&lt;&gt;0</formula>
    </cfRule>
  </conditionalFormatting>
  <conditionalFormatting sqref="P39:Q40">
    <cfRule type="expression" dxfId="256" priority="11">
      <formula>P$7&lt;&gt;0</formula>
    </cfRule>
  </conditionalFormatting>
  <conditionalFormatting sqref="P41:Q41">
    <cfRule type="expression" dxfId="255" priority="10">
      <formula>P$7&lt;&gt;0</formula>
    </cfRule>
  </conditionalFormatting>
  <conditionalFormatting sqref="P43:Q44">
    <cfRule type="expression" dxfId="254" priority="9">
      <formula>P$7&lt;&gt;0</formula>
    </cfRule>
  </conditionalFormatting>
  <conditionalFormatting sqref="P45:Q45">
    <cfRule type="expression" dxfId="253" priority="8">
      <formula>P$7&lt;&gt;0</formula>
    </cfRule>
  </conditionalFormatting>
  <conditionalFormatting sqref="P47:Q48">
    <cfRule type="expression" dxfId="252" priority="7">
      <formula>P$7&lt;&gt;0</formula>
    </cfRule>
  </conditionalFormatting>
  <conditionalFormatting sqref="P49:Q49">
    <cfRule type="expression" dxfId="251" priority="5">
      <formula>P$7&lt;&gt;0</formula>
    </cfRule>
  </conditionalFormatting>
  <conditionalFormatting sqref="P51:Q52">
    <cfRule type="expression" dxfId="250" priority="4">
      <formula>P$7&lt;&gt;0</formula>
    </cfRule>
  </conditionalFormatting>
  <conditionalFormatting sqref="P53:Q54">
    <cfRule type="expression" dxfId="249" priority="3">
      <formula>P$7&lt;&gt;0</formula>
    </cfRule>
  </conditionalFormatting>
  <conditionalFormatting sqref="P58:Q59">
    <cfRule type="expression" dxfId="248" priority="2">
      <formula>P$7&lt;&gt;0</formula>
    </cfRule>
  </conditionalFormatting>
  <pageMargins left="0.39370078740157483" right="0.39370078740157483" top="0.39370078740157483" bottom="0.39370078740157483" header="0" footer="0"/>
  <pageSetup paperSize="9" scale="65" fitToHeight="0" orientation="portrait" r:id="rId1"/>
  <headerFooter scaleWithDoc="0">
    <oddFooter>&amp;L&amp;G&amp;C&amp;"-,Obyčejné"&amp;8&amp;K00+000Tisk: &amp;D &amp;T&amp;R&amp;"-,Obyčejné"&amp;8&amp;K00+000&amp;F</oddFooter>
  </headerFooter>
  <rowBreaks count="1" manualBreakCount="1">
    <brk id="37" min="6" max="1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outlinePr summaryBelow="0" summaryRight="0"/>
  </sheetPr>
  <dimension ref="A1:V348"/>
  <sheetViews>
    <sheetView showGridLines="0" workbookViewId="0">
      <pane ySplit="1" topLeftCell="A2" activePane="bottomLeft" state="frozen"/>
      <selection activeCell="B4" sqref="B4"/>
      <selection pane="bottomLeft" activeCell="B4" sqref="B4"/>
    </sheetView>
  </sheetViews>
  <sheetFormatPr defaultRowHeight="11.25" x14ac:dyDescent="0.2"/>
  <cols>
    <col min="1" max="1" width="9.7109375" style="196" bestFit="1" customWidth="1"/>
    <col min="2" max="2" width="35.5703125" style="189" customWidth="1"/>
    <col min="3" max="3" width="8.5703125" style="189" bestFit="1" customWidth="1"/>
    <col min="4" max="4" width="5.42578125" style="503" customWidth="1"/>
    <col min="5" max="5" width="6.28515625" style="198" customWidth="1"/>
    <col min="6" max="6" width="4.85546875" style="503" bestFit="1" customWidth="1" collapsed="1"/>
    <col min="7" max="8" width="4.85546875" style="503" bestFit="1" customWidth="1"/>
    <col min="9" max="10" width="4.85546875" style="503" customWidth="1"/>
    <col min="11" max="11" width="44" style="179" bestFit="1" customWidth="1"/>
    <col min="12" max="12" width="7.42578125" style="196" bestFit="1" customWidth="1"/>
    <col min="13" max="15" width="6.140625" style="503" bestFit="1" customWidth="1"/>
    <col min="16" max="17" width="6.140625" style="503" customWidth="1"/>
    <col min="18" max="18" width="22.85546875" style="179" bestFit="1" customWidth="1"/>
    <col min="19" max="19" width="8.42578125" style="189" bestFit="1" customWidth="1"/>
    <col min="20" max="20" width="15.140625" style="189" bestFit="1" customWidth="1"/>
    <col min="21" max="16384" width="9.140625" style="179"/>
  </cols>
  <sheetData>
    <row r="1" spans="1:20" x14ac:dyDescent="0.2">
      <c r="A1" s="197" t="s">
        <v>222</v>
      </c>
      <c r="B1" s="175" t="s">
        <v>223</v>
      </c>
      <c r="C1" s="175" t="s">
        <v>231</v>
      </c>
      <c r="D1" s="192" t="s">
        <v>67</v>
      </c>
      <c r="E1" s="177" t="s">
        <v>275</v>
      </c>
      <c r="F1" s="175" t="s">
        <v>232</v>
      </c>
      <c r="G1" s="175" t="s">
        <v>233</v>
      </c>
      <c r="H1" s="175" t="s">
        <v>234</v>
      </c>
      <c r="I1" s="175" t="s">
        <v>753</v>
      </c>
      <c r="J1" s="175" t="s">
        <v>774</v>
      </c>
      <c r="K1" s="186" t="s">
        <v>276</v>
      </c>
      <c r="L1" s="191" t="s">
        <v>296</v>
      </c>
      <c r="M1" s="175" t="s">
        <v>297</v>
      </c>
      <c r="N1" s="175" t="s">
        <v>298</v>
      </c>
      <c r="O1" s="175" t="s">
        <v>299</v>
      </c>
      <c r="P1" s="175" t="s">
        <v>764</v>
      </c>
      <c r="Q1" s="175" t="s">
        <v>775</v>
      </c>
      <c r="R1" s="186" t="s">
        <v>277</v>
      </c>
      <c r="S1" s="175" t="s">
        <v>640</v>
      </c>
      <c r="T1" s="175" t="s">
        <v>632</v>
      </c>
    </row>
    <row r="2" spans="1:20" x14ac:dyDescent="0.2">
      <c r="A2" s="196">
        <v>11</v>
      </c>
      <c r="C2" s="189" t="s">
        <v>342</v>
      </c>
      <c r="D2" s="503" t="s">
        <v>278</v>
      </c>
      <c r="E2" s="508"/>
      <c r="F2" s="504"/>
      <c r="G2" s="504"/>
      <c r="H2" s="504"/>
      <c r="I2" s="504"/>
      <c r="J2" s="504"/>
      <c r="K2" s="179" t="str">
        <f>IF(ISBLANK(E2),"ručně doplnit",IF(E2="-","není ve výkazech",IF(C2="Rozvaha",VLOOKUP(E2,radky_R!$A:$B,2,0),IF(C2="Výsledovka",VLOOKUP(E2,radky_V!A:M,2,0)))))</f>
        <v>ručně doplnit</v>
      </c>
      <c r="R2" s="179" t="str">
        <f>IF(ISBLANK(L2),"není alternativa",IF(L2="-","není ve výkazech",VLOOKUP(L2,radky_R!$A:$B,2,0)))</f>
        <v>není alternativa</v>
      </c>
      <c r="S2" s="189" t="s">
        <v>253</v>
      </c>
      <c r="T2" s="189" t="s">
        <v>633</v>
      </c>
    </row>
    <row r="3" spans="1:20" x14ac:dyDescent="0.2">
      <c r="A3" s="196">
        <v>12</v>
      </c>
      <c r="B3" s="189" t="s">
        <v>0</v>
      </c>
      <c r="C3" s="189" t="s">
        <v>342</v>
      </c>
      <c r="D3" s="503" t="s">
        <v>278</v>
      </c>
      <c r="E3" s="508">
        <v>5</v>
      </c>
      <c r="F3" s="504" t="s">
        <v>238</v>
      </c>
      <c r="G3" s="504" t="s">
        <v>239</v>
      </c>
      <c r="H3" s="504" t="s">
        <v>240</v>
      </c>
      <c r="I3" s="504"/>
      <c r="J3" s="504"/>
      <c r="K3" s="179" t="str">
        <f>IF(ISBLANK(E3),"ručně doplnit",IF(E3="-","není ve výkazech",IF(C3="Rozvaha",VLOOKUP(E3,radky_R!$A:$B,2,0),IF(C3="Výsledovka",VLOOKUP(E3,radky_V!A:M,2,0)))))</f>
        <v xml:space="preserve">Nehmotné výsledky výzkumu a vývoje </v>
      </c>
      <c r="R3" s="179" t="str">
        <f>IF(ISBLANK(L3),"není alternativa",IF(L3="-","není ve výkazech",VLOOKUP(L3,radky_R!$A:$B,2,0)))</f>
        <v>není alternativa</v>
      </c>
      <c r="S3" s="189" t="s">
        <v>253</v>
      </c>
      <c r="T3" s="189" t="s">
        <v>633</v>
      </c>
    </row>
    <row r="4" spans="1:20" x14ac:dyDescent="0.2">
      <c r="A4" s="196">
        <v>13</v>
      </c>
      <c r="B4" s="189" t="s">
        <v>1</v>
      </c>
      <c r="C4" s="189" t="s">
        <v>342</v>
      </c>
      <c r="D4" s="503" t="s">
        <v>278</v>
      </c>
      <c r="E4" s="508">
        <v>7</v>
      </c>
      <c r="F4" s="504" t="s">
        <v>238</v>
      </c>
      <c r="G4" s="504" t="s">
        <v>239</v>
      </c>
      <c r="H4" s="504" t="s">
        <v>241</v>
      </c>
      <c r="I4" s="504" t="s">
        <v>240</v>
      </c>
      <c r="J4" s="504"/>
      <c r="K4" s="179" t="str">
        <f>IF(ISBLANK(E4),"ručně doplnit",IF(E4="-","není ve výkazech",IF(C4="Rozvaha",VLOOKUP(E4,radky_R!$A:$B,2,0),IF(C4="Výsledovka",VLOOKUP(E4,radky_V!A:M,2,0)))))</f>
        <v>Software</v>
      </c>
      <c r="R4" s="179" t="str">
        <f>IF(ISBLANK(L4),"není alternativa",IF(L4="-","není ve výkazech",VLOOKUP(L4,radky_R!$A:$B,2,0)))</f>
        <v>není alternativa</v>
      </c>
      <c r="S4" s="189" t="s">
        <v>253</v>
      </c>
      <c r="T4" s="189" t="s">
        <v>633</v>
      </c>
    </row>
    <row r="5" spans="1:20" x14ac:dyDescent="0.2">
      <c r="A5" s="196">
        <v>14</v>
      </c>
      <c r="B5" s="189" t="s">
        <v>652</v>
      </c>
      <c r="C5" s="189" t="s">
        <v>342</v>
      </c>
      <c r="D5" s="503" t="s">
        <v>278</v>
      </c>
      <c r="E5" s="508">
        <v>8</v>
      </c>
      <c r="F5" s="504" t="s">
        <v>238</v>
      </c>
      <c r="G5" s="504" t="s">
        <v>239</v>
      </c>
      <c r="H5" s="504" t="s">
        <v>241</v>
      </c>
      <c r="I5" s="504" t="s">
        <v>241</v>
      </c>
      <c r="J5" s="504"/>
      <c r="K5" s="179" t="str">
        <f>IF(ISBLANK(E5),"ručně doplnit",IF(E5="-","není ve výkazech",IF(C5="Rozvaha",VLOOKUP(E5,radky_R!$A:$B,2,0),IF(C5="Výsledovka",VLOOKUP(E5,radky_V!A:M,2,0)))))</f>
        <v>Ostatní ocenitelná práva</v>
      </c>
      <c r="R5" s="179" t="str">
        <f>IF(ISBLANK(L5),"není alternativa",IF(L5="-","není ve výkazech",VLOOKUP(L5,radky_R!$A:$B,2,0)))</f>
        <v>není alternativa</v>
      </c>
      <c r="S5" s="189" t="s">
        <v>253</v>
      </c>
      <c r="T5" s="189" t="s">
        <v>633</v>
      </c>
    </row>
    <row r="6" spans="1:20" x14ac:dyDescent="0.2">
      <c r="A6" s="196">
        <v>15</v>
      </c>
      <c r="B6" s="189" t="s">
        <v>3</v>
      </c>
      <c r="C6" s="189" t="s">
        <v>342</v>
      </c>
      <c r="D6" s="503" t="s">
        <v>278</v>
      </c>
      <c r="E6" s="508">
        <v>9</v>
      </c>
      <c r="F6" s="504" t="s">
        <v>238</v>
      </c>
      <c r="G6" s="504" t="s">
        <v>239</v>
      </c>
      <c r="H6" s="504" t="s">
        <v>242</v>
      </c>
      <c r="I6" s="504"/>
      <c r="J6" s="504"/>
      <c r="K6" s="179" t="str">
        <f>IF(ISBLANK(E6),"ručně doplnit",IF(E6="-","není ve výkazech",IF(C6="Rozvaha",VLOOKUP(E6,radky_R!$A:$B,2,0),IF(C6="Výsledovka",VLOOKUP(E6,radky_V!A:M,2,0)))))</f>
        <v>Goodwill</v>
      </c>
      <c r="R6" s="179" t="str">
        <f>IF(ISBLANK(L6),"není alternativa",IF(L6="-","není ve výkazech",VLOOKUP(L6,radky_R!$A:$B,2,0)))</f>
        <v>není alternativa</v>
      </c>
      <c r="S6" s="189" t="s">
        <v>253</v>
      </c>
      <c r="T6" s="189" t="s">
        <v>633</v>
      </c>
    </row>
    <row r="7" spans="1:20" x14ac:dyDescent="0.2">
      <c r="A7" s="196">
        <v>19</v>
      </c>
      <c r="B7" s="189" t="s">
        <v>653</v>
      </c>
      <c r="C7" s="189" t="s">
        <v>342</v>
      </c>
      <c r="D7" s="503" t="s">
        <v>278</v>
      </c>
      <c r="E7" s="508">
        <v>10</v>
      </c>
      <c r="F7" s="504" t="s">
        <v>238</v>
      </c>
      <c r="G7" s="504" t="s">
        <v>239</v>
      </c>
      <c r="H7" s="504" t="s">
        <v>243</v>
      </c>
      <c r="I7" s="504"/>
      <c r="J7" s="504"/>
      <c r="K7" s="179" t="str">
        <f>IF(ISBLANK(E7),"ručně doplnit",IF(E7="-","není ve výkazech",IF(C7="Rozvaha",VLOOKUP(E7,radky_R!$A:$B,2,0),IF(C7="Výsledovka",VLOOKUP(E7,radky_V!A:M,2,0)))))</f>
        <v>Ostatní dlouhodobý nehmotný majetek</v>
      </c>
      <c r="R7" s="179" t="str">
        <f>IF(ISBLANK(L7),"není alternativa",IF(L7="-","není ve výkazech",VLOOKUP(L7,radky_R!$A:$B,2,0)))</f>
        <v>není alternativa</v>
      </c>
      <c r="S7" s="189" t="s">
        <v>253</v>
      </c>
      <c r="T7" s="189" t="s">
        <v>633</v>
      </c>
    </row>
    <row r="8" spans="1:20" x14ac:dyDescent="0.2">
      <c r="A8" s="196">
        <v>21</v>
      </c>
      <c r="B8" s="189" t="s">
        <v>4</v>
      </c>
      <c r="C8" s="189" t="s">
        <v>342</v>
      </c>
      <c r="D8" s="503" t="s">
        <v>278</v>
      </c>
      <c r="E8" s="508">
        <v>17</v>
      </c>
      <c r="F8" s="504" t="s">
        <v>238</v>
      </c>
      <c r="G8" s="504" t="s">
        <v>249</v>
      </c>
      <c r="H8" s="504" t="s">
        <v>240</v>
      </c>
      <c r="I8" s="504" t="s">
        <v>241</v>
      </c>
      <c r="J8" s="504"/>
      <c r="K8" s="179" t="str">
        <f>IF(ISBLANK(E8),"ručně doplnit",IF(E8="-","není ve výkazech",IF(C8="Rozvaha",VLOOKUP(E8,radky_R!$A:$B,2,0),IF(C8="Výsledovka",VLOOKUP(E8,radky_V!A:M,2,0)))))</f>
        <v>Stavby</v>
      </c>
      <c r="R8" s="179" t="str">
        <f>IF(ISBLANK(L8),"není alternativa",IF(L8="-","není ve výkazech",VLOOKUP(L8,radky_R!$A:$B,2,0)))</f>
        <v>není alternativa</v>
      </c>
      <c r="S8" s="189" t="s">
        <v>253</v>
      </c>
      <c r="T8" s="189" t="s">
        <v>633</v>
      </c>
    </row>
    <row r="9" spans="1:20" x14ac:dyDescent="0.2">
      <c r="A9" s="196">
        <v>22</v>
      </c>
      <c r="B9" s="189" t="s">
        <v>658</v>
      </c>
      <c r="C9" s="189" t="s">
        <v>342</v>
      </c>
      <c r="D9" s="503" t="s">
        <v>278</v>
      </c>
      <c r="E9" s="508">
        <v>18</v>
      </c>
      <c r="F9" s="504" t="s">
        <v>238</v>
      </c>
      <c r="G9" s="504" t="s">
        <v>249</v>
      </c>
      <c r="H9" s="504" t="s">
        <v>241</v>
      </c>
      <c r="I9" s="504"/>
      <c r="J9" s="504"/>
      <c r="K9" s="179" t="str">
        <f>IF(ISBLANK(E9),"ručně doplnit",IF(E9="-","není ve výkazech",IF(C9="Rozvaha",VLOOKUP(E9,radky_R!$A:$B,2,0),IF(C9="Výsledovka",VLOOKUP(E9,radky_V!A:M,2,0)))))</f>
        <v>Hmotné movité věci a jejich soubory</v>
      </c>
      <c r="R9" s="179" t="str">
        <f>IF(ISBLANK(L9),"není alternativa",IF(L9="-","není ve výkazech",VLOOKUP(L9,radky_R!$A:$B,2,0)))</f>
        <v>není alternativa</v>
      </c>
      <c r="S9" s="189" t="s">
        <v>253</v>
      </c>
      <c r="T9" s="189" t="s">
        <v>633</v>
      </c>
    </row>
    <row r="10" spans="1:20" x14ac:dyDescent="0.2">
      <c r="A10" s="196">
        <v>25</v>
      </c>
      <c r="B10" s="189" t="s">
        <v>5</v>
      </c>
      <c r="C10" s="189" t="s">
        <v>342</v>
      </c>
      <c r="D10" s="503" t="s">
        <v>278</v>
      </c>
      <c r="E10" s="508">
        <v>21</v>
      </c>
      <c r="F10" s="504" t="s">
        <v>238</v>
      </c>
      <c r="G10" s="504" t="s">
        <v>249</v>
      </c>
      <c r="H10" s="504" t="s">
        <v>243</v>
      </c>
      <c r="I10" s="504" t="s">
        <v>240</v>
      </c>
      <c r="J10" s="504"/>
      <c r="K10" s="179" t="str">
        <f>IF(ISBLANK(E10),"ručně doplnit",IF(E10="-","není ve výkazech",IF(C10="Rozvaha",VLOOKUP(E10,radky_R!$A:$B,2,0),IF(C10="Výsledovka",VLOOKUP(E10,radky_V!A:M,2,0)))))</f>
        <v>Pěstitelské celky trvalých porostů</v>
      </c>
      <c r="R10" s="179" t="str">
        <f>IF(ISBLANK(L10),"není alternativa",IF(L10="-","není ve výkazech",VLOOKUP(L10,radky_R!$A:$B,2,0)))</f>
        <v>není alternativa</v>
      </c>
      <c r="S10" s="189" t="s">
        <v>253</v>
      </c>
      <c r="T10" s="189" t="s">
        <v>633</v>
      </c>
    </row>
    <row r="11" spans="1:20" x14ac:dyDescent="0.2">
      <c r="A11" s="196">
        <v>26</v>
      </c>
      <c r="B11" s="189" t="s">
        <v>6</v>
      </c>
      <c r="C11" s="189" t="s">
        <v>342</v>
      </c>
      <c r="D11" s="503" t="s">
        <v>278</v>
      </c>
      <c r="E11" s="508">
        <v>22</v>
      </c>
      <c r="F11" s="504" t="s">
        <v>238</v>
      </c>
      <c r="G11" s="504" t="s">
        <v>249</v>
      </c>
      <c r="H11" s="504" t="s">
        <v>243</v>
      </c>
      <c r="I11" s="504" t="s">
        <v>241</v>
      </c>
      <c r="J11" s="504"/>
      <c r="K11" s="179" t="str">
        <f>IF(ISBLANK(E11),"ručně doplnit",IF(E11="-","není ve výkazech",IF(C11="Rozvaha",VLOOKUP(E11,radky_R!$A:$B,2,0),IF(C11="Výsledovka",VLOOKUP(E11,radky_V!A:M,2,0)))))</f>
        <v>Dospělá zvířata a jejich skupiny</v>
      </c>
      <c r="R11" s="179" t="str">
        <f>IF(ISBLANK(L11),"není alternativa",IF(L11="-","není ve výkazech",VLOOKUP(L11,radky_R!$A:$B,2,0)))</f>
        <v>není alternativa</v>
      </c>
      <c r="S11" s="189" t="s">
        <v>253</v>
      </c>
      <c r="T11" s="189" t="s">
        <v>633</v>
      </c>
    </row>
    <row r="12" spans="1:20" x14ac:dyDescent="0.2">
      <c r="A12" s="196">
        <v>29</v>
      </c>
      <c r="B12" s="189" t="s">
        <v>7</v>
      </c>
      <c r="C12" s="189" t="s">
        <v>342</v>
      </c>
      <c r="D12" s="503" t="s">
        <v>278</v>
      </c>
      <c r="E12" s="508">
        <v>23</v>
      </c>
      <c r="F12" s="504" t="s">
        <v>238</v>
      </c>
      <c r="G12" s="504" t="s">
        <v>249</v>
      </c>
      <c r="H12" s="504" t="s">
        <v>243</v>
      </c>
      <c r="I12" s="504" t="s">
        <v>242</v>
      </c>
      <c r="J12" s="504"/>
      <c r="K12" s="179" t="str">
        <f>IF(ISBLANK(E12),"ručně doplnit",IF(E12="-","není ve výkazech",IF(C12="Rozvaha",VLOOKUP(E12,radky_R!$A:$B,2,0),IF(C12="Výsledovka",VLOOKUP(E12,radky_V!A:M,2,0)))))</f>
        <v>Jiný dlouhodobý hmotný majetek</v>
      </c>
      <c r="R12" s="179" t="str">
        <f>IF(ISBLANK(L12),"není alternativa",IF(L12="-","není ve výkazech",VLOOKUP(L12,radky_R!$A:$B,2,0)))</f>
        <v>není alternativa</v>
      </c>
      <c r="S12" s="189" t="s">
        <v>253</v>
      </c>
      <c r="T12" s="189" t="s">
        <v>633</v>
      </c>
    </row>
    <row r="13" spans="1:20" x14ac:dyDescent="0.2">
      <c r="A13" s="196">
        <v>31</v>
      </c>
      <c r="B13" s="189" t="s">
        <v>8</v>
      </c>
      <c r="C13" s="189" t="s">
        <v>342</v>
      </c>
      <c r="D13" s="503" t="s">
        <v>278</v>
      </c>
      <c r="E13" s="508">
        <v>16</v>
      </c>
      <c r="F13" s="504" t="s">
        <v>238</v>
      </c>
      <c r="G13" s="504" t="s">
        <v>249</v>
      </c>
      <c r="H13" s="504" t="s">
        <v>240</v>
      </c>
      <c r="I13" s="504" t="s">
        <v>240</v>
      </c>
      <c r="J13" s="504"/>
      <c r="K13" s="179" t="str">
        <f>IF(ISBLANK(E13),"ručně doplnit",IF(E13="-","není ve výkazech",IF(C13="Rozvaha",VLOOKUP(E13,radky_R!$A:$B,2,0),IF(C13="Výsledovka",VLOOKUP(E13,radky_V!A:M,2,0)))))</f>
        <v>Pozemky</v>
      </c>
      <c r="R13" s="179" t="str">
        <f>IF(ISBLANK(L13),"není alternativa",IF(L13="-","není ve výkazech",VLOOKUP(L13,radky_R!$A:$B,2,0)))</f>
        <v>není alternativa</v>
      </c>
      <c r="S13" s="189" t="s">
        <v>253</v>
      </c>
      <c r="T13" s="189" t="s">
        <v>633</v>
      </c>
    </row>
    <row r="14" spans="1:20" x14ac:dyDescent="0.2">
      <c r="A14" s="196">
        <v>32</v>
      </c>
      <c r="B14" s="189" t="s">
        <v>9</v>
      </c>
      <c r="C14" s="189" t="s">
        <v>342</v>
      </c>
      <c r="D14" s="503" t="s">
        <v>278</v>
      </c>
      <c r="E14" s="508">
        <v>23</v>
      </c>
      <c r="F14" s="504" t="s">
        <v>238</v>
      </c>
      <c r="G14" s="504" t="s">
        <v>249</v>
      </c>
      <c r="H14" s="504" t="s">
        <v>243</v>
      </c>
      <c r="I14" s="504" t="s">
        <v>242</v>
      </c>
      <c r="J14" s="504"/>
      <c r="K14" s="179" t="str">
        <f>IF(ISBLANK(E14),"ručně doplnit",IF(E14="-","není ve výkazech",IF(C14="Rozvaha",VLOOKUP(E14,radky_R!$A:$B,2,0),IF(C14="Výsledovka",VLOOKUP(E14,radky_V!A:M,2,0)))))</f>
        <v>Jiný dlouhodobý hmotný majetek</v>
      </c>
      <c r="R14" s="179" t="str">
        <f>IF(ISBLANK(L14),"není alternativa",IF(L14="-","není ve výkazech",VLOOKUP(L14,radky_R!$A:$B,2,0)))</f>
        <v>není alternativa</v>
      </c>
      <c r="S14" s="189" t="s">
        <v>253</v>
      </c>
      <c r="T14" s="189" t="s">
        <v>633</v>
      </c>
    </row>
    <row r="15" spans="1:20" x14ac:dyDescent="0.2">
      <c r="A15" s="196">
        <v>41</v>
      </c>
      <c r="B15" s="189" t="s">
        <v>248</v>
      </c>
      <c r="C15" s="189" t="s">
        <v>342</v>
      </c>
      <c r="D15" s="503" t="s">
        <v>278</v>
      </c>
      <c r="E15" s="508">
        <v>13</v>
      </c>
      <c r="F15" s="504" t="s">
        <v>238</v>
      </c>
      <c r="G15" s="504" t="s">
        <v>239</v>
      </c>
      <c r="H15" s="504" t="s">
        <v>244</v>
      </c>
      <c r="I15" s="504" t="s">
        <v>241</v>
      </c>
      <c r="J15" s="504"/>
      <c r="K15" s="179" t="str">
        <f>IF(ISBLANK(E15),"ručně doplnit",IF(E15="-","není ve výkazech",IF(C15="Rozvaha",VLOOKUP(E15,radky_R!$A:$B,2,0),IF(C15="Výsledovka",VLOOKUP(E15,radky_V!A:M,2,0)))))</f>
        <v>Nedokončený dlouhodobý nehmotný majetek</v>
      </c>
      <c r="R15" s="179" t="str">
        <f>IF(ISBLANK(L15),"není alternativa",IF(L15="-","není ve výkazech",VLOOKUP(L15,radky_R!$A:$B,2,0)))</f>
        <v>není alternativa</v>
      </c>
      <c r="S15" s="189" t="s">
        <v>253</v>
      </c>
      <c r="T15" s="189" t="s">
        <v>633</v>
      </c>
    </row>
    <row r="16" spans="1:20" x14ac:dyDescent="0.2">
      <c r="A16" s="196">
        <v>42</v>
      </c>
      <c r="B16" s="189" t="s">
        <v>251</v>
      </c>
      <c r="C16" s="189" t="s">
        <v>342</v>
      </c>
      <c r="D16" s="503" t="s">
        <v>278</v>
      </c>
      <c r="E16" s="508">
        <v>26</v>
      </c>
      <c r="F16" s="504" t="s">
        <v>238</v>
      </c>
      <c r="G16" s="504" t="s">
        <v>249</v>
      </c>
      <c r="H16" s="504" t="s">
        <v>244</v>
      </c>
      <c r="I16" s="504" t="s">
        <v>241</v>
      </c>
      <c r="J16" s="504"/>
      <c r="K16" s="179" t="str">
        <f>IF(ISBLANK(E16),"ručně doplnit",IF(E16="-","není ve výkazech",IF(C16="Rozvaha",VLOOKUP(E16,radky_R!$A:$B,2,0),IF(C16="Výsledovka",VLOOKUP(E16,radky_V!A:M,2,0)))))</f>
        <v>Nedokončený dlouhodobý hmotný majetek</v>
      </c>
      <c r="R16" s="179" t="str">
        <f>IF(ISBLANK(L16),"není alternativa",IF(L16="-","není ve výkazech",VLOOKUP(L16,radky_R!$A:$B,2,0)))</f>
        <v>není alternativa</v>
      </c>
      <c r="S16" s="189" t="s">
        <v>253</v>
      </c>
      <c r="T16" s="189" t="s">
        <v>633</v>
      </c>
    </row>
    <row r="17" spans="1:20" x14ac:dyDescent="0.2">
      <c r="A17" s="196">
        <v>43</v>
      </c>
      <c r="B17" s="189" t="s">
        <v>10</v>
      </c>
      <c r="C17" s="189" t="s">
        <v>342</v>
      </c>
      <c r="D17" s="503" t="s">
        <v>278</v>
      </c>
      <c r="E17" s="507"/>
      <c r="F17" s="505"/>
      <c r="G17" s="505"/>
      <c r="H17" s="505"/>
      <c r="I17" s="505"/>
      <c r="J17" s="505"/>
      <c r="K17" s="179" t="str">
        <f>IF(ISBLANK(E17),"ručně doplnit",IF(E17="-","není ve výkazech",IF(C17="Rozvaha",VLOOKUP(E17,radky_R!$A:$B,2,0),IF(C17="Výsledovka",VLOOKUP(E17,radky_V!A:M,2,0)))))</f>
        <v>ručně doplnit</v>
      </c>
      <c r="R17" s="179" t="str">
        <f>IF(ISBLANK(L17),"není alternativa",IF(L17="-","není ve výkazech",VLOOKUP(L17,radky_R!$A:$B,2,0)))</f>
        <v>není alternativa</v>
      </c>
      <c r="S17" s="189" t="s">
        <v>253</v>
      </c>
      <c r="T17" s="189" t="s">
        <v>634</v>
      </c>
    </row>
    <row r="18" spans="1:20" x14ac:dyDescent="0.2">
      <c r="A18" s="196">
        <v>51</v>
      </c>
      <c r="B18" s="189" t="s">
        <v>11</v>
      </c>
      <c r="C18" s="189" t="s">
        <v>342</v>
      </c>
      <c r="D18" s="503" t="s">
        <v>278</v>
      </c>
      <c r="E18" s="508">
        <v>12</v>
      </c>
      <c r="F18" s="504" t="s">
        <v>238</v>
      </c>
      <c r="G18" s="504" t="s">
        <v>239</v>
      </c>
      <c r="H18" s="504" t="s">
        <v>244</v>
      </c>
      <c r="I18" s="504" t="s">
        <v>240</v>
      </c>
      <c r="J18" s="504"/>
      <c r="K18" s="179" t="str">
        <f>IF(ISBLANK(E18),"ručně doplnit",IF(E18="-","není ve výkazech",IF(C18="Rozvaha",VLOOKUP(E18,radky_R!$A:$B,2,0),IF(C18="Výsledovka",VLOOKUP(E18,radky_V!A:M,2,0)))))</f>
        <v>Poskytnuté zálohy na dlouhodobý nehmotný majetek</v>
      </c>
      <c r="R18" s="179" t="str">
        <f>IF(ISBLANK(L18),"není alternativa",IF(L18="-","není ve výkazech",VLOOKUP(L18,radky_R!$A:$B,2,0)))</f>
        <v>není alternativa</v>
      </c>
      <c r="S18" s="189" t="s">
        <v>253</v>
      </c>
      <c r="T18" s="189" t="s">
        <v>633</v>
      </c>
    </row>
    <row r="19" spans="1:20" x14ac:dyDescent="0.2">
      <c r="A19" s="196">
        <v>52</v>
      </c>
      <c r="B19" s="189" t="s">
        <v>12</v>
      </c>
      <c r="C19" s="189" t="s">
        <v>342</v>
      </c>
      <c r="D19" s="503" t="s">
        <v>278</v>
      </c>
      <c r="E19" s="508">
        <v>25</v>
      </c>
      <c r="F19" s="504" t="s">
        <v>238</v>
      </c>
      <c r="G19" s="504" t="s">
        <v>249</v>
      </c>
      <c r="H19" s="504" t="s">
        <v>244</v>
      </c>
      <c r="I19" s="504" t="s">
        <v>240</v>
      </c>
      <c r="J19" s="504"/>
      <c r="K19" s="179" t="str">
        <f>IF(ISBLANK(E19),"ručně doplnit",IF(E19="-","není ve výkazech",IF(C19="Rozvaha",VLOOKUP(E19,radky_R!$A:$B,2,0),IF(C19="Výsledovka",VLOOKUP(E19,radky_V!A:M,2,0)))))</f>
        <v>Poskytnuté zálohy na dlouhodobý hmotný majetek</v>
      </c>
      <c r="R19" s="179" t="str">
        <f>IF(ISBLANK(L19),"není alternativa",IF(L19="-","není ve výkazech",VLOOKUP(L19,radky_R!$A:$B,2,0)))</f>
        <v>není alternativa</v>
      </c>
      <c r="S19" s="189" t="s">
        <v>253</v>
      </c>
      <c r="T19" s="189" t="s">
        <v>633</v>
      </c>
    </row>
    <row r="20" spans="1:20" x14ac:dyDescent="0.2">
      <c r="A20" s="196">
        <v>53</v>
      </c>
      <c r="B20" s="189" t="s">
        <v>13</v>
      </c>
      <c r="C20" s="189" t="s">
        <v>342</v>
      </c>
      <c r="D20" s="503" t="s">
        <v>278</v>
      </c>
      <c r="E20" s="508">
        <v>36</v>
      </c>
      <c r="F20" s="504" t="s">
        <v>238</v>
      </c>
      <c r="G20" s="504" t="s">
        <v>254</v>
      </c>
      <c r="H20" s="504" t="s">
        <v>246</v>
      </c>
      <c r="I20" s="504" t="s">
        <v>241</v>
      </c>
      <c r="J20" s="504"/>
      <c r="K20" s="179" t="str">
        <f>IF(ISBLANK(E20),"ručně doplnit",IF(E20="-","není ve výkazech",IF(C20="Rozvaha",VLOOKUP(E20,radky_R!$A:$B,2,0),IF(C20="Výsledovka",VLOOKUP(E20,radky_V!A:M,2,0)))))</f>
        <v>Poskytnuté zálohy na dlouhodobý finanční majetek</v>
      </c>
      <c r="R20" s="179" t="str">
        <f>IF(ISBLANK(L20),"není alternativa",IF(L20="-","není ve výkazech",VLOOKUP(L20,radky_R!$A:$B,2,0)))</f>
        <v>není alternativa</v>
      </c>
      <c r="S20" s="189" t="s">
        <v>253</v>
      </c>
      <c r="T20" s="189" t="s">
        <v>634</v>
      </c>
    </row>
    <row r="21" spans="1:20" x14ac:dyDescent="0.2">
      <c r="A21" s="196">
        <v>61</v>
      </c>
      <c r="B21" s="189" t="s">
        <v>661</v>
      </c>
      <c r="C21" s="189" t="s">
        <v>342</v>
      </c>
      <c r="D21" s="503" t="s">
        <v>278</v>
      </c>
      <c r="E21" s="508">
        <v>28</v>
      </c>
      <c r="F21" s="504" t="s">
        <v>238</v>
      </c>
      <c r="G21" s="504" t="s">
        <v>254</v>
      </c>
      <c r="H21" s="504" t="s">
        <v>240</v>
      </c>
      <c r="I21" s="504"/>
      <c r="J21" s="504"/>
      <c r="K21" s="179" t="str">
        <f>IF(ISBLANK(E21),"ručně doplnit",IF(E21="-","není ve výkazech",IF(C21="Rozvaha",VLOOKUP(E21,radky_R!$A:$B,2,0),IF(C21="Výsledovka",VLOOKUP(E21,radky_V!A:M,2,0)))))</f>
        <v>Podíly - ovládaná nebo ovládající osoba</v>
      </c>
      <c r="R21" s="179" t="str">
        <f>IF(ISBLANK(L21),"není alternativa",IF(L21="-","není ve výkazech",VLOOKUP(L21,radky_R!$A:$B,2,0)))</f>
        <v>není alternativa</v>
      </c>
      <c r="S21" s="189" t="s">
        <v>253</v>
      </c>
      <c r="T21" s="189" t="s">
        <v>634</v>
      </c>
    </row>
    <row r="22" spans="1:20" x14ac:dyDescent="0.2">
      <c r="A22" s="196">
        <v>62</v>
      </c>
      <c r="B22" s="189" t="s">
        <v>662</v>
      </c>
      <c r="C22" s="189" t="s">
        <v>342</v>
      </c>
      <c r="D22" s="503" t="s">
        <v>278</v>
      </c>
      <c r="E22" s="508">
        <v>30</v>
      </c>
      <c r="F22" s="504" t="s">
        <v>238</v>
      </c>
      <c r="G22" s="504" t="s">
        <v>254</v>
      </c>
      <c r="H22" s="504" t="s">
        <v>242</v>
      </c>
      <c r="I22" s="504"/>
      <c r="J22" s="504"/>
      <c r="K22" s="179" t="str">
        <f>IF(ISBLANK(E22),"ručně doplnit",IF(E22="-","není ve výkazech",IF(C22="Rozvaha",VLOOKUP(E22,radky_R!$A:$B,2,0),IF(C22="Výsledovka",VLOOKUP(E22,radky_V!A:M,2,0)))))</f>
        <v>Podíly - podstatný vliv</v>
      </c>
      <c r="R22" s="179" t="str">
        <f>IF(ISBLANK(L22),"není alternativa",IF(L22="-","není ve výkazech",VLOOKUP(L22,radky_R!$A:$B,2,0)))</f>
        <v>není alternativa</v>
      </c>
      <c r="S22" s="189" t="s">
        <v>253</v>
      </c>
      <c r="T22" s="189" t="s">
        <v>634</v>
      </c>
    </row>
    <row r="23" spans="1:20" x14ac:dyDescent="0.2">
      <c r="A23" s="196">
        <v>63</v>
      </c>
      <c r="B23" s="189" t="s">
        <v>14</v>
      </c>
      <c r="C23" s="189" t="s">
        <v>342</v>
      </c>
      <c r="D23" s="503" t="s">
        <v>278</v>
      </c>
      <c r="E23" s="508">
        <v>32</v>
      </c>
      <c r="F23" s="504" t="s">
        <v>238</v>
      </c>
      <c r="G23" s="504" t="s">
        <v>254</v>
      </c>
      <c r="H23" s="504" t="s">
        <v>244</v>
      </c>
      <c r="I23" s="504"/>
      <c r="J23" s="504"/>
      <c r="K23" s="179" t="str">
        <f>IF(ISBLANK(E23),"ručně doplnit",IF(E23="-","není ve výkazech",IF(C23="Rozvaha",VLOOKUP(E23,radky_R!$A:$B,2,0),IF(C23="Výsledovka",VLOOKUP(E23,radky_V!A:M,2,0)))))</f>
        <v>Ostatní dlouhodobé cenné papíry a podíly</v>
      </c>
      <c r="R23" s="179" t="str">
        <f>IF(ISBLANK(L23),"není alternativa",IF(L23="-","není ve výkazech",VLOOKUP(L23,radky_R!$A:$B,2,0)))</f>
        <v>není alternativa</v>
      </c>
      <c r="S23" s="189" t="s">
        <v>253</v>
      </c>
      <c r="T23" s="189" t="s">
        <v>634</v>
      </c>
    </row>
    <row r="24" spans="1:20" x14ac:dyDescent="0.2">
      <c r="A24" s="196">
        <v>65</v>
      </c>
      <c r="B24" s="189" t="s">
        <v>15</v>
      </c>
      <c r="C24" s="189" t="s">
        <v>342</v>
      </c>
      <c r="D24" s="503" t="s">
        <v>278</v>
      </c>
      <c r="E24" s="508">
        <v>32</v>
      </c>
      <c r="F24" s="504" t="s">
        <v>238</v>
      </c>
      <c r="G24" s="504" t="s">
        <v>254</v>
      </c>
      <c r="H24" s="504" t="s">
        <v>244</v>
      </c>
      <c r="I24" s="504"/>
      <c r="J24" s="504"/>
      <c r="K24" s="179" t="str">
        <f>IF(ISBLANK(E24),"ručně doplnit",IF(E24="-","není ve výkazech",IF(C24="Rozvaha",VLOOKUP(E24,radky_R!$A:$B,2,0),IF(C24="Výsledovka",VLOOKUP(E24,radky_V!A:M,2,0)))))</f>
        <v>Ostatní dlouhodobé cenné papíry a podíly</v>
      </c>
      <c r="R24" s="179" t="str">
        <f>IF(ISBLANK(L24),"není alternativa",IF(L24="-","není ve výkazech",VLOOKUP(L24,radky_R!$A:$B,2,0)))</f>
        <v>není alternativa</v>
      </c>
      <c r="S24" s="189" t="s">
        <v>253</v>
      </c>
      <c r="T24" s="189" t="s">
        <v>634</v>
      </c>
    </row>
    <row r="25" spans="1:20" x14ac:dyDescent="0.2">
      <c r="A25" s="196">
        <v>66</v>
      </c>
      <c r="B25" s="189" t="s">
        <v>756</v>
      </c>
      <c r="C25" s="189" t="s">
        <v>342</v>
      </c>
      <c r="D25" s="503" t="s">
        <v>278</v>
      </c>
      <c r="E25" s="508">
        <v>29</v>
      </c>
      <c r="F25" s="504" t="s">
        <v>238</v>
      </c>
      <c r="G25" s="504" t="s">
        <v>254</v>
      </c>
      <c r="H25" s="504" t="s">
        <v>241</v>
      </c>
      <c r="I25" s="504"/>
      <c r="J25" s="504"/>
      <c r="K25" s="179" t="str">
        <f>IF(ISBLANK(E25),"ručně doplnit",IF(E25="-","není ve výkazech",IF(C25="Rozvaha",VLOOKUP(E25,radky_R!$A:$B,2,0),IF(C25="Výsledovka",VLOOKUP(E25,radky_V!A:M,2,0)))))</f>
        <v>Zápůjčky a úvěry - ovládaná nebo ovládající osoba</v>
      </c>
      <c r="R25" s="179" t="str">
        <f>IF(ISBLANK(L25),"není alternativa",IF(L25="-","není ve výkazech",VLOOKUP(L25,radky_R!$A:$B,2,0)))</f>
        <v>není alternativa</v>
      </c>
      <c r="S25" s="189" t="s">
        <v>253</v>
      </c>
      <c r="T25" s="189" t="s">
        <v>634</v>
      </c>
    </row>
    <row r="26" spans="1:20" x14ac:dyDescent="0.2">
      <c r="A26" s="196">
        <v>67</v>
      </c>
      <c r="B26" s="189" t="s">
        <v>700</v>
      </c>
      <c r="C26" s="189" t="s">
        <v>342</v>
      </c>
      <c r="D26" s="503" t="s">
        <v>278</v>
      </c>
      <c r="E26" s="508">
        <v>31</v>
      </c>
      <c r="F26" s="504" t="s">
        <v>238</v>
      </c>
      <c r="G26" s="504" t="s">
        <v>254</v>
      </c>
      <c r="H26" s="504" t="s">
        <v>243</v>
      </c>
      <c r="I26" s="504"/>
      <c r="J26" s="504"/>
      <c r="K26" s="179" t="str">
        <f>IF(ISBLANK(E26),"ručně doplnit",IF(E26="-","není ve výkazech",IF(C26="Rozvaha",VLOOKUP(E26,radky_R!$A:$B,2,0),IF(C26="Výsledovka",VLOOKUP(E26,radky_V!A:M,2,0)))))</f>
        <v>Zápůjčky a úvěry - podstatný vliv</v>
      </c>
      <c r="R26" s="179" t="str">
        <f>IF(ISBLANK(L26),"není alternativa",IF(L26="-","není ve výkazech",VLOOKUP(L26,radky_R!$A:$B,2,0)))</f>
        <v>není alternativa</v>
      </c>
      <c r="S26" s="189" t="s">
        <v>253</v>
      </c>
      <c r="T26" s="189" t="s">
        <v>634</v>
      </c>
    </row>
    <row r="27" spans="1:20" x14ac:dyDescent="0.2">
      <c r="A27" s="196">
        <v>68</v>
      </c>
      <c r="B27" s="189" t="s">
        <v>668</v>
      </c>
      <c r="C27" s="189" t="s">
        <v>342</v>
      </c>
      <c r="D27" s="503" t="s">
        <v>278</v>
      </c>
      <c r="E27" s="508">
        <v>33</v>
      </c>
      <c r="F27" s="504" t="s">
        <v>238</v>
      </c>
      <c r="G27" s="504" t="s">
        <v>254</v>
      </c>
      <c r="H27" s="504" t="s">
        <v>245</v>
      </c>
      <c r="I27" s="504"/>
      <c r="J27" s="504"/>
      <c r="K27" s="179" t="str">
        <f>IF(ISBLANK(E27),"ručně doplnit",IF(E27="-","není ve výkazech",IF(C27="Rozvaha",VLOOKUP(E27,radky_R!$A:$B,2,0),IF(C27="Výsledovka",VLOOKUP(E27,radky_V!A:M,2,0)))))</f>
        <v>Zápůjčky a úvěry - ostatní</v>
      </c>
      <c r="R27" s="179" t="str">
        <f>IF(ISBLANK(L27),"není alternativa",IF(L27="-","není ve výkazech",VLOOKUP(L27,radky_R!$A:$B,2,0)))</f>
        <v>není alternativa</v>
      </c>
    </row>
    <row r="28" spans="1:20" x14ac:dyDescent="0.2">
      <c r="A28" s="196">
        <v>69</v>
      </c>
      <c r="B28" s="189" t="s">
        <v>16</v>
      </c>
      <c r="C28" s="189" t="s">
        <v>342</v>
      </c>
      <c r="D28" s="503" t="s">
        <v>278</v>
      </c>
      <c r="E28" s="508">
        <v>35</v>
      </c>
      <c r="F28" s="504" t="s">
        <v>238</v>
      </c>
      <c r="G28" s="504" t="s">
        <v>254</v>
      </c>
      <c r="H28" s="504" t="s">
        <v>246</v>
      </c>
      <c r="I28" s="504" t="s">
        <v>240</v>
      </c>
      <c r="J28" s="504"/>
      <c r="K28" s="179" t="str">
        <f>IF(ISBLANK(E28),"ručně doplnit",IF(E28="-","není ve výkazech",IF(C28="Rozvaha",VLOOKUP(E28,radky_R!$A:$B,2,0),IF(C28="Výsledovka",VLOOKUP(E28,radky_V!A:M,2,0)))))</f>
        <v>Jiný dlouhodobý finanční majetek</v>
      </c>
      <c r="R28" s="179" t="str">
        <f>IF(ISBLANK(L28),"není alternativa",IF(L28="-","není ve výkazech",VLOOKUP(L28,radky_R!$A:$B,2,0)))</f>
        <v>není alternativa</v>
      </c>
      <c r="S28" s="189" t="s">
        <v>253</v>
      </c>
      <c r="T28" s="189" t="s">
        <v>634</v>
      </c>
    </row>
    <row r="29" spans="1:20" x14ac:dyDescent="0.2">
      <c r="A29" s="196">
        <v>71</v>
      </c>
      <c r="C29" s="189" t="s">
        <v>342</v>
      </c>
      <c r="D29" s="503" t="s">
        <v>278</v>
      </c>
      <c r="E29" s="196"/>
      <c r="K29" s="179" t="str">
        <f>IF(ISBLANK(E29),"ručně doplnit",IF(E29="-","není ve výkazech",IF(C29="Rozvaha",VLOOKUP(E29,radky_R!$A:$B,2,0),IF(C29="Výsledovka",VLOOKUP(E29,radky_V!A:M,2,0)))))</f>
        <v>ručně doplnit</v>
      </c>
      <c r="R29" s="179" t="str">
        <f>IF(ISBLANK(L29),"není alternativa",IF(L29="-","není ve výkazech",VLOOKUP(L29,radky_R!$A:$B,2,0)))</f>
        <v>není alternativa</v>
      </c>
      <c r="S29" s="189" t="s">
        <v>255</v>
      </c>
      <c r="T29" s="189" t="s">
        <v>633</v>
      </c>
    </row>
    <row r="30" spans="1:20" x14ac:dyDescent="0.2">
      <c r="A30" s="196">
        <v>72</v>
      </c>
      <c r="B30" s="189" t="s">
        <v>17</v>
      </c>
      <c r="C30" s="189" t="s">
        <v>342</v>
      </c>
      <c r="D30" s="503" t="s">
        <v>278</v>
      </c>
      <c r="E30" s="508">
        <v>5</v>
      </c>
      <c r="F30" s="504" t="s">
        <v>238</v>
      </c>
      <c r="G30" s="504" t="s">
        <v>239</v>
      </c>
      <c r="H30" s="504" t="s">
        <v>240</v>
      </c>
      <c r="I30" s="504"/>
      <c r="J30" s="504"/>
      <c r="K30" s="179" t="str">
        <f>IF(ISBLANK(E30),"ručně doplnit",IF(E30="-","není ve výkazech",IF(C30="Rozvaha",VLOOKUP(E30,radky_R!$A:$B,2,0),IF(C30="Výsledovka",VLOOKUP(E30,radky_V!A:M,2,0)))))</f>
        <v xml:space="preserve">Nehmotné výsledky výzkumu a vývoje </v>
      </c>
      <c r="R30" s="179" t="str">
        <f>IF(ISBLANK(L30),"není alternativa",IF(L30="-","není ve výkazech",VLOOKUP(L30,radky_R!$A:$B,2,0)))</f>
        <v>není alternativa</v>
      </c>
      <c r="S30" s="189" t="s">
        <v>255</v>
      </c>
      <c r="T30" s="189" t="s">
        <v>633</v>
      </c>
    </row>
    <row r="31" spans="1:20" x14ac:dyDescent="0.2">
      <c r="A31" s="196">
        <v>73</v>
      </c>
      <c r="B31" s="189" t="s">
        <v>18</v>
      </c>
      <c r="C31" s="189" t="s">
        <v>342</v>
      </c>
      <c r="D31" s="503" t="s">
        <v>278</v>
      </c>
      <c r="E31" s="508">
        <v>7</v>
      </c>
      <c r="F31" s="504" t="s">
        <v>238</v>
      </c>
      <c r="G31" s="504" t="s">
        <v>239</v>
      </c>
      <c r="H31" s="504" t="s">
        <v>241</v>
      </c>
      <c r="I31" s="504" t="s">
        <v>240</v>
      </c>
      <c r="J31" s="504"/>
      <c r="K31" s="179" t="str">
        <f>IF(ISBLANK(E31),"ručně doplnit",IF(E31="-","není ve výkazech",IF(C31="Rozvaha",VLOOKUP(E31,radky_R!$A:$B,2,0),IF(C31="Výsledovka",VLOOKUP(E31,radky_V!A:M,2,0)))))</f>
        <v>Software</v>
      </c>
      <c r="R31" s="179" t="str">
        <f>IF(ISBLANK(L31),"není alternativa",IF(L31="-","není ve výkazech",VLOOKUP(L31,radky_R!$A:$B,2,0)))</f>
        <v>není alternativa</v>
      </c>
      <c r="S31" s="189" t="s">
        <v>255</v>
      </c>
      <c r="T31" s="189" t="s">
        <v>633</v>
      </c>
    </row>
    <row r="32" spans="1:20" x14ac:dyDescent="0.2">
      <c r="A32" s="196">
        <v>74</v>
      </c>
      <c r="B32" s="189" t="s">
        <v>757</v>
      </c>
      <c r="C32" s="189" t="s">
        <v>342</v>
      </c>
      <c r="D32" s="503" t="s">
        <v>278</v>
      </c>
      <c r="E32" s="508">
        <v>8</v>
      </c>
      <c r="F32" s="504" t="s">
        <v>238</v>
      </c>
      <c r="G32" s="504" t="s">
        <v>239</v>
      </c>
      <c r="H32" s="504" t="s">
        <v>241</v>
      </c>
      <c r="I32" s="504" t="s">
        <v>241</v>
      </c>
      <c r="J32" s="504"/>
      <c r="K32" s="179" t="str">
        <f>IF(ISBLANK(E32),"ručně doplnit",IF(E32="-","není ve výkazech",IF(C32="Rozvaha",VLOOKUP(E32,radky_R!$A:$B,2,0),IF(C32="Výsledovka",VLOOKUP(E32,radky_V!A:M,2,0)))))</f>
        <v>Ostatní ocenitelná práva</v>
      </c>
      <c r="R32" s="179" t="str">
        <f>IF(ISBLANK(L32),"není alternativa",IF(L32="-","není ve výkazech",VLOOKUP(L32,radky_R!$A:$B,2,0)))</f>
        <v>není alternativa</v>
      </c>
      <c r="S32" s="189" t="s">
        <v>255</v>
      </c>
      <c r="T32" s="189" t="s">
        <v>633</v>
      </c>
    </row>
    <row r="33" spans="1:20" x14ac:dyDescent="0.2">
      <c r="A33" s="196">
        <v>75</v>
      </c>
      <c r="B33" s="189" t="s">
        <v>19</v>
      </c>
      <c r="C33" s="189" t="s">
        <v>342</v>
      </c>
      <c r="D33" s="503" t="s">
        <v>278</v>
      </c>
      <c r="E33" s="508">
        <v>9</v>
      </c>
      <c r="F33" s="504" t="s">
        <v>238</v>
      </c>
      <c r="G33" s="504" t="s">
        <v>239</v>
      </c>
      <c r="H33" s="504" t="s">
        <v>242</v>
      </c>
      <c r="I33" s="504"/>
      <c r="J33" s="504"/>
      <c r="K33" s="179" t="str">
        <f>IF(ISBLANK(E33),"ručně doplnit",IF(E33="-","není ve výkazech",IF(C33="Rozvaha",VLOOKUP(E33,radky_R!$A:$B,2,0),IF(C33="Výsledovka",VLOOKUP(E33,radky_V!A:M,2,0)))))</f>
        <v>Goodwill</v>
      </c>
      <c r="R33" s="179" t="str">
        <f>IF(ISBLANK(L33),"není alternativa",IF(L33="-","není ve výkazech",VLOOKUP(L33,radky_R!$A:$B,2,0)))</f>
        <v>není alternativa</v>
      </c>
      <c r="S33" s="189" t="s">
        <v>255</v>
      </c>
      <c r="T33" s="189" t="s">
        <v>633</v>
      </c>
    </row>
    <row r="34" spans="1:20" x14ac:dyDescent="0.2">
      <c r="A34" s="196">
        <v>79</v>
      </c>
      <c r="B34" s="189" t="s">
        <v>758</v>
      </c>
      <c r="C34" s="189" t="s">
        <v>342</v>
      </c>
      <c r="D34" s="503" t="s">
        <v>278</v>
      </c>
      <c r="E34" s="508">
        <v>10</v>
      </c>
      <c r="F34" s="504" t="s">
        <v>238</v>
      </c>
      <c r="G34" s="504" t="s">
        <v>239</v>
      </c>
      <c r="H34" s="504" t="s">
        <v>243</v>
      </c>
      <c r="I34" s="504"/>
      <c r="J34" s="504"/>
      <c r="K34" s="179" t="str">
        <f>IF(ISBLANK(E34),"ručně doplnit",IF(E34="-","není ve výkazech",IF(C34="Rozvaha",VLOOKUP(E34,radky_R!$A:$B,2,0),IF(C34="Výsledovka",VLOOKUP(E34,radky_V!A:M,2,0)))))</f>
        <v>Ostatní dlouhodobý nehmotný majetek</v>
      </c>
      <c r="R34" s="179" t="str">
        <f>IF(ISBLANK(L34),"není alternativa",IF(L34="-","není ve výkazech",VLOOKUP(L34,radky_R!$A:$B,2,0)))</f>
        <v>není alternativa</v>
      </c>
      <c r="S34" s="189" t="s">
        <v>255</v>
      </c>
      <c r="T34" s="189" t="s">
        <v>633</v>
      </c>
    </row>
    <row r="35" spans="1:20" x14ac:dyDescent="0.2">
      <c r="A35" s="196">
        <v>81</v>
      </c>
      <c r="B35" s="189" t="s">
        <v>20</v>
      </c>
      <c r="C35" s="189" t="s">
        <v>342</v>
      </c>
      <c r="D35" s="503" t="s">
        <v>278</v>
      </c>
      <c r="E35" s="508">
        <v>17</v>
      </c>
      <c r="F35" s="504" t="s">
        <v>238</v>
      </c>
      <c r="G35" s="504" t="s">
        <v>249</v>
      </c>
      <c r="H35" s="504" t="s">
        <v>240</v>
      </c>
      <c r="I35" s="504" t="s">
        <v>241</v>
      </c>
      <c r="J35" s="504"/>
      <c r="K35" s="179" t="str">
        <f>IF(ISBLANK(E35),"ručně doplnit",IF(E35="-","není ve výkazech",IF(C35="Rozvaha",VLOOKUP(E35,radky_R!$A:$B,2,0),IF(C35="Výsledovka",VLOOKUP(E35,radky_V!A:M,2,0)))))</f>
        <v>Stavby</v>
      </c>
      <c r="R35" s="179" t="str">
        <f>IF(ISBLANK(L35),"není alternativa",IF(L35="-","není ve výkazech",VLOOKUP(L35,radky_R!$A:$B,2,0)))</f>
        <v>není alternativa</v>
      </c>
      <c r="S35" s="189" t="s">
        <v>255</v>
      </c>
      <c r="T35" s="189" t="s">
        <v>633</v>
      </c>
    </row>
    <row r="36" spans="1:20" x14ac:dyDescent="0.2">
      <c r="A36" s="196">
        <v>82</v>
      </c>
      <c r="B36" s="189" t="s">
        <v>759</v>
      </c>
      <c r="C36" s="189" t="s">
        <v>342</v>
      </c>
      <c r="D36" s="503" t="s">
        <v>278</v>
      </c>
      <c r="E36" s="508">
        <v>18</v>
      </c>
      <c r="F36" s="504" t="s">
        <v>238</v>
      </c>
      <c r="G36" s="504" t="s">
        <v>249</v>
      </c>
      <c r="H36" s="504" t="s">
        <v>241</v>
      </c>
      <c r="I36" s="504"/>
      <c r="J36" s="504"/>
      <c r="K36" s="179" t="str">
        <f>IF(ISBLANK(E36),"ručně doplnit",IF(E36="-","není ve výkazech",IF(C36="Rozvaha",VLOOKUP(E36,radky_R!$A:$B,2,0),IF(C36="Výsledovka",VLOOKUP(E36,radky_V!A:M,2,0)))))</f>
        <v>Hmotné movité věci a jejich soubory</v>
      </c>
      <c r="R36" s="179" t="str">
        <f>IF(ISBLANK(L36),"není alternativa",IF(L36="-","není ve výkazech",VLOOKUP(L36,radky_R!$A:$B,2,0)))</f>
        <v>není alternativa</v>
      </c>
      <c r="S36" s="189" t="s">
        <v>255</v>
      </c>
      <c r="T36" s="189" t="s">
        <v>633</v>
      </c>
    </row>
    <row r="37" spans="1:20" x14ac:dyDescent="0.2">
      <c r="A37" s="196">
        <v>85</v>
      </c>
      <c r="B37" s="189" t="s">
        <v>21</v>
      </c>
      <c r="C37" s="189" t="s">
        <v>342</v>
      </c>
      <c r="D37" s="503" t="s">
        <v>278</v>
      </c>
      <c r="E37" s="508">
        <v>21</v>
      </c>
      <c r="F37" s="504" t="s">
        <v>238</v>
      </c>
      <c r="G37" s="504" t="s">
        <v>249</v>
      </c>
      <c r="H37" s="504" t="s">
        <v>243</v>
      </c>
      <c r="I37" s="504" t="s">
        <v>240</v>
      </c>
      <c r="J37" s="504"/>
      <c r="K37" s="179" t="str">
        <f>IF(ISBLANK(E37),"ručně doplnit",IF(E37="-","není ve výkazech",IF(C37="Rozvaha",VLOOKUP(E37,radky_R!$A:$B,2,0),IF(C37="Výsledovka",VLOOKUP(E37,radky_V!A:M,2,0)))))</f>
        <v>Pěstitelské celky trvalých porostů</v>
      </c>
      <c r="R37" s="179" t="str">
        <f>IF(ISBLANK(L37),"není alternativa",IF(L37="-","není ve výkazech",VLOOKUP(L37,radky_R!$A:$B,2,0)))</f>
        <v>není alternativa</v>
      </c>
      <c r="S37" s="189" t="s">
        <v>255</v>
      </c>
      <c r="T37" s="189" t="s">
        <v>633</v>
      </c>
    </row>
    <row r="38" spans="1:20" x14ac:dyDescent="0.2">
      <c r="A38" s="196">
        <v>86</v>
      </c>
      <c r="B38" s="189" t="s">
        <v>22</v>
      </c>
      <c r="C38" s="189" t="s">
        <v>342</v>
      </c>
      <c r="D38" s="503" t="s">
        <v>278</v>
      </c>
      <c r="E38" s="508">
        <v>22</v>
      </c>
      <c r="F38" s="504" t="s">
        <v>238</v>
      </c>
      <c r="G38" s="504" t="s">
        <v>249</v>
      </c>
      <c r="H38" s="504" t="s">
        <v>243</v>
      </c>
      <c r="I38" s="504" t="s">
        <v>241</v>
      </c>
      <c r="J38" s="504"/>
      <c r="K38" s="179" t="str">
        <f>IF(ISBLANK(E38),"ručně doplnit",IF(E38="-","není ve výkazech",IF(C38="Rozvaha",VLOOKUP(E38,radky_R!$A:$B,2,0),IF(C38="Výsledovka",VLOOKUP(E38,radky_V!A:M,2,0)))))</f>
        <v>Dospělá zvířata a jejich skupiny</v>
      </c>
      <c r="R38" s="179" t="str">
        <f>IF(ISBLANK(L38),"není alternativa",IF(L38="-","není ve výkazech",VLOOKUP(L38,radky_R!$A:$B,2,0)))</f>
        <v>není alternativa</v>
      </c>
      <c r="S38" s="189" t="s">
        <v>255</v>
      </c>
      <c r="T38" s="189" t="s">
        <v>633</v>
      </c>
    </row>
    <row r="39" spans="1:20" x14ac:dyDescent="0.2">
      <c r="A39" s="196">
        <v>89</v>
      </c>
      <c r="B39" s="189" t="s">
        <v>23</v>
      </c>
      <c r="C39" s="189" t="s">
        <v>342</v>
      </c>
      <c r="D39" s="503" t="s">
        <v>278</v>
      </c>
      <c r="E39" s="508">
        <v>23</v>
      </c>
      <c r="F39" s="504" t="s">
        <v>238</v>
      </c>
      <c r="G39" s="504" t="s">
        <v>249</v>
      </c>
      <c r="H39" s="504" t="s">
        <v>243</v>
      </c>
      <c r="I39" s="504" t="s">
        <v>242</v>
      </c>
      <c r="J39" s="504"/>
      <c r="K39" s="179" t="str">
        <f>IF(ISBLANK(E39),"ručně doplnit",IF(E39="-","není ve výkazech",IF(C39="Rozvaha",VLOOKUP(E39,radky_R!$A:$B,2,0),IF(C39="Výsledovka",VLOOKUP(E39,radky_V!A:M,2,0)))))</f>
        <v>Jiný dlouhodobý hmotný majetek</v>
      </c>
      <c r="R39" s="179" t="str">
        <f>IF(ISBLANK(L39),"není alternativa",IF(L39="-","není ve výkazech",VLOOKUP(L39,radky_R!$A:$B,2,0)))</f>
        <v>není alternativa</v>
      </c>
      <c r="S39" s="189" t="s">
        <v>255</v>
      </c>
      <c r="T39" s="189" t="s">
        <v>633</v>
      </c>
    </row>
    <row r="40" spans="1:20" x14ac:dyDescent="0.2">
      <c r="A40" s="196">
        <v>91</v>
      </c>
      <c r="B40" s="189" t="s">
        <v>24</v>
      </c>
      <c r="C40" s="189" t="s">
        <v>342</v>
      </c>
      <c r="D40" s="503" t="s">
        <v>278</v>
      </c>
      <c r="E40" s="507"/>
      <c r="F40" s="505"/>
      <c r="G40" s="505"/>
      <c r="H40" s="505"/>
      <c r="I40" s="505"/>
      <c r="J40" s="505"/>
      <c r="K40" s="179" t="str">
        <f>IF(ISBLANK(E40),"ručně doplnit",IF(E40="-","není ve výkazech",IF(C40="Rozvaha",VLOOKUP(E40,radky_R!$A:$B,2,0),IF(C40="Výsledovka",VLOOKUP(E40,radky_V!A:M,2,0)))))</f>
        <v>ručně doplnit</v>
      </c>
      <c r="R40" s="179" t="str">
        <f>IF(ISBLANK(L40),"není alternativa",IF(L40="-","není ve výkazech",VLOOKUP(L40,radky_R!$A:$B,2,0)))</f>
        <v>není alternativa</v>
      </c>
      <c r="S40" s="189" t="s">
        <v>255</v>
      </c>
      <c r="T40" s="189" t="s">
        <v>633</v>
      </c>
    </row>
    <row r="41" spans="1:20" x14ac:dyDescent="0.2">
      <c r="A41" s="196">
        <v>92</v>
      </c>
      <c r="B41" s="189" t="s">
        <v>25</v>
      </c>
      <c r="C41" s="189" t="s">
        <v>342</v>
      </c>
      <c r="D41" s="503" t="s">
        <v>278</v>
      </c>
      <c r="E41" s="508"/>
      <c r="F41" s="504" t="s">
        <v>238</v>
      </c>
      <c r="G41" s="504" t="s">
        <v>249</v>
      </c>
      <c r="H41" s="504" t="s">
        <v>240</v>
      </c>
      <c r="I41" s="504" t="s">
        <v>240</v>
      </c>
      <c r="J41" s="504"/>
      <c r="K41" s="179" t="str">
        <f>IF(ISBLANK(E41),"ručně doplnit",IF(E41="-","není ve výkazech",IF(C41="Rozvaha",VLOOKUP(E41,radky_R!$A:$B,2,0),IF(C41="Výsledovka",VLOOKUP(E41,radky_V!A:M,2,0)))))</f>
        <v>ručně doplnit</v>
      </c>
      <c r="R41" s="179" t="str">
        <f>IF(ISBLANK(L41),"není alternativa",IF(L41="-","není ve výkazech",VLOOKUP(L41,radky_R!$A:$B,2,0)))</f>
        <v>není alternativa</v>
      </c>
      <c r="S41" s="189" t="s">
        <v>255</v>
      </c>
      <c r="T41" s="189" t="s">
        <v>633</v>
      </c>
    </row>
    <row r="42" spans="1:20" x14ac:dyDescent="0.2">
      <c r="A42" s="196">
        <v>92</v>
      </c>
      <c r="B42" s="189" t="s">
        <v>25</v>
      </c>
      <c r="C42" s="189" t="s">
        <v>342</v>
      </c>
      <c r="D42" s="503" t="s">
        <v>278</v>
      </c>
      <c r="E42" s="508"/>
      <c r="F42" s="504" t="s">
        <v>238</v>
      </c>
      <c r="G42" s="504" t="s">
        <v>249</v>
      </c>
      <c r="H42" s="504" t="s">
        <v>240</v>
      </c>
      <c r="I42" s="504" t="s">
        <v>241</v>
      </c>
      <c r="J42" s="504"/>
      <c r="K42" s="179" t="str">
        <f>IF(ISBLANK(E42),"ručně doplnit",IF(E42="-","není ve výkazech",IF(C42="Rozvaha",VLOOKUP(E42,radky_R!$A:$B,2,0),IF(C42="Výsledovka",VLOOKUP(E42,radky_V!A:M,2,0)))))</f>
        <v>ručně doplnit</v>
      </c>
      <c r="R42" s="179" t="str">
        <f>IF(ISBLANK(L42),"není alternativa",IF(L42="-","není ve výkazech",VLOOKUP(L42,radky_R!$A:$B,2,0)))</f>
        <v>není alternativa</v>
      </c>
      <c r="S42" s="189" t="s">
        <v>255</v>
      </c>
      <c r="T42" s="189" t="s">
        <v>633</v>
      </c>
    </row>
    <row r="43" spans="1:20" x14ac:dyDescent="0.2">
      <c r="A43" s="196">
        <v>92</v>
      </c>
      <c r="B43" s="189" t="s">
        <v>25</v>
      </c>
      <c r="C43" s="189" t="s">
        <v>342</v>
      </c>
      <c r="D43" s="503" t="s">
        <v>278</v>
      </c>
      <c r="E43" s="508"/>
      <c r="F43" s="504" t="s">
        <v>238</v>
      </c>
      <c r="G43" s="504" t="s">
        <v>249</v>
      </c>
      <c r="H43" s="504" t="s">
        <v>241</v>
      </c>
      <c r="I43" s="504"/>
      <c r="J43" s="504"/>
      <c r="K43" s="179" t="str">
        <f>IF(ISBLANK(E43),"ručně doplnit",IF(E43="-","není ve výkazech",IF(C43="Rozvaha",VLOOKUP(E43,radky_R!$A:$B,2,0),IF(C43="Výsledovka",VLOOKUP(E43,radky_V!A:M,2,0)))))</f>
        <v>ručně doplnit</v>
      </c>
      <c r="R43" s="179" t="str">
        <f>IF(ISBLANK(L43),"není alternativa",IF(L43="-","není ve výkazech",VLOOKUP(L43,radky_R!$A:$B,2,0)))</f>
        <v>není alternativa</v>
      </c>
      <c r="S43" s="189" t="s">
        <v>255</v>
      </c>
      <c r="T43" s="189" t="s">
        <v>633</v>
      </c>
    </row>
    <row r="44" spans="1:20" x14ac:dyDescent="0.2">
      <c r="A44" s="196">
        <v>92</v>
      </c>
      <c r="B44" s="189" t="s">
        <v>25</v>
      </c>
      <c r="C44" s="189" t="s">
        <v>342</v>
      </c>
      <c r="D44" s="503" t="s">
        <v>278</v>
      </c>
      <c r="E44" s="508"/>
      <c r="F44" s="504" t="s">
        <v>238</v>
      </c>
      <c r="G44" s="504" t="s">
        <v>249</v>
      </c>
      <c r="H44" s="504" t="s">
        <v>243</v>
      </c>
      <c r="I44" s="504" t="s">
        <v>240</v>
      </c>
      <c r="J44" s="504"/>
      <c r="K44" s="179" t="str">
        <f>IF(ISBLANK(E44),"ručně doplnit",IF(E44="-","není ve výkazech",IF(C44="Rozvaha",VLOOKUP(E44,radky_R!$A:$B,2,0),IF(C44="Výsledovka",VLOOKUP(E44,radky_V!A:M,2,0)))))</f>
        <v>ručně doplnit</v>
      </c>
      <c r="R44" s="179" t="str">
        <f>IF(ISBLANK(L44),"není alternativa",IF(L44="-","není ve výkazech",VLOOKUP(L44,radky_R!$A:$B,2,0)))</f>
        <v>není alternativa</v>
      </c>
      <c r="S44" s="189" t="s">
        <v>255</v>
      </c>
      <c r="T44" s="189" t="s">
        <v>633</v>
      </c>
    </row>
    <row r="45" spans="1:20" x14ac:dyDescent="0.2">
      <c r="A45" s="196">
        <v>92</v>
      </c>
      <c r="B45" s="189" t="s">
        <v>25</v>
      </c>
      <c r="C45" s="189" t="s">
        <v>342</v>
      </c>
      <c r="D45" s="503" t="s">
        <v>278</v>
      </c>
      <c r="E45" s="508"/>
      <c r="F45" s="504" t="s">
        <v>238</v>
      </c>
      <c r="G45" s="504" t="s">
        <v>249</v>
      </c>
      <c r="H45" s="504" t="s">
        <v>243</v>
      </c>
      <c r="I45" s="504" t="s">
        <v>241</v>
      </c>
      <c r="J45" s="504"/>
      <c r="K45" s="179" t="str">
        <f>IF(ISBLANK(E45),"ručně doplnit",IF(E45="-","není ve výkazech",IF(C45="Rozvaha",VLOOKUP(E45,radky_R!$A:$B,2,0),IF(C45="Výsledovka",VLOOKUP(E45,radky_V!A:M,2,0)))))</f>
        <v>ručně doplnit</v>
      </c>
      <c r="R45" s="179" t="str">
        <f>IF(ISBLANK(L45),"není alternativa",IF(L45="-","není ve výkazech",VLOOKUP(L45,radky_R!$A:$B,2,0)))</f>
        <v>není alternativa</v>
      </c>
      <c r="S45" s="189" t="s">
        <v>255</v>
      </c>
      <c r="T45" s="189" t="s">
        <v>633</v>
      </c>
    </row>
    <row r="46" spans="1:20" x14ac:dyDescent="0.2">
      <c r="A46" s="196">
        <v>92</v>
      </c>
      <c r="B46" s="189" t="s">
        <v>25</v>
      </c>
      <c r="C46" s="189" t="s">
        <v>342</v>
      </c>
      <c r="D46" s="503" t="s">
        <v>278</v>
      </c>
      <c r="E46" s="508"/>
      <c r="F46" s="504" t="s">
        <v>238</v>
      </c>
      <c r="G46" s="504" t="s">
        <v>249</v>
      </c>
      <c r="H46" s="504" t="s">
        <v>243</v>
      </c>
      <c r="I46" s="504" t="s">
        <v>242</v>
      </c>
      <c r="J46" s="504"/>
      <c r="K46" s="179" t="str">
        <f>IF(ISBLANK(E46),"ručně doplnit",IF(E46="-","není ve výkazech",IF(C46="Rozvaha",VLOOKUP(E46,radky_R!$A:$B,2,0),IF(C46="Výsledovka",VLOOKUP(E46,radky_V!A:M,2,0)))))</f>
        <v>ručně doplnit</v>
      </c>
      <c r="R46" s="179" t="str">
        <f>IF(ISBLANK(L46),"není alternativa",IF(L46="-","není ve výkazech",VLOOKUP(L46,radky_R!$A:$B,2,0)))</f>
        <v>není alternativa</v>
      </c>
      <c r="S46" s="189" t="s">
        <v>255</v>
      </c>
      <c r="T46" s="189" t="s">
        <v>633</v>
      </c>
    </row>
    <row r="47" spans="1:20" x14ac:dyDescent="0.2">
      <c r="A47" s="196">
        <v>93</v>
      </c>
      <c r="B47" s="189" t="s">
        <v>26</v>
      </c>
      <c r="C47" s="189" t="s">
        <v>342</v>
      </c>
      <c r="D47" s="503" t="s">
        <v>278</v>
      </c>
      <c r="E47" s="508">
        <v>13</v>
      </c>
      <c r="F47" s="504" t="s">
        <v>238</v>
      </c>
      <c r="G47" s="504" t="s">
        <v>239</v>
      </c>
      <c r="H47" s="504" t="s">
        <v>244</v>
      </c>
      <c r="I47" s="504" t="s">
        <v>241</v>
      </c>
      <c r="J47" s="504"/>
      <c r="K47" s="179" t="str">
        <f>IF(ISBLANK(E47),"ručně doplnit",IF(E47="-","není ve výkazech",IF(C47="Rozvaha",VLOOKUP(E47,radky_R!$A:$B,2,0),IF(C47="Výsledovka",VLOOKUP(E47,radky_V!A:M,2,0)))))</f>
        <v>Nedokončený dlouhodobý nehmotný majetek</v>
      </c>
      <c r="R47" s="179" t="str">
        <f>IF(ISBLANK(L47),"není alternativa",IF(L47="-","není ve výkazech",VLOOKUP(L47,radky_R!$A:$B,2,0)))</f>
        <v>není alternativa</v>
      </c>
      <c r="S47" s="189" t="s">
        <v>255</v>
      </c>
      <c r="T47" s="189" t="s">
        <v>633</v>
      </c>
    </row>
    <row r="48" spans="1:20" x14ac:dyDescent="0.2">
      <c r="A48" s="196">
        <v>94</v>
      </c>
      <c r="B48" s="189" t="s">
        <v>27</v>
      </c>
      <c r="C48" s="189" t="s">
        <v>342</v>
      </c>
      <c r="D48" s="503" t="s">
        <v>278</v>
      </c>
      <c r="E48" s="508">
        <v>26</v>
      </c>
      <c r="F48" s="504" t="s">
        <v>238</v>
      </c>
      <c r="G48" s="504" t="s">
        <v>249</v>
      </c>
      <c r="H48" s="504" t="s">
        <v>244</v>
      </c>
      <c r="I48" s="504" t="s">
        <v>241</v>
      </c>
      <c r="J48" s="504"/>
      <c r="K48" s="179" t="str">
        <f>IF(ISBLANK(E48),"ručně doplnit",IF(E48="-","není ve výkazech",IF(C48="Rozvaha",VLOOKUP(E48,radky_R!$A:$B,2,0),IF(C48="Výsledovka",VLOOKUP(E48,radky_V!A:M,2,0)))))</f>
        <v>Nedokončený dlouhodobý hmotný majetek</v>
      </c>
      <c r="R48" s="179" t="str">
        <f>IF(ISBLANK(L48),"není alternativa",IF(L48="-","není ve výkazech",VLOOKUP(L48,radky_R!$A:$B,2,0)))</f>
        <v>není alternativa</v>
      </c>
      <c r="S48" s="189" t="s">
        <v>255</v>
      </c>
      <c r="T48" s="189" t="s">
        <v>633</v>
      </c>
    </row>
    <row r="49" spans="1:20" x14ac:dyDescent="0.2">
      <c r="A49" s="196">
        <v>95</v>
      </c>
      <c r="B49" s="189" t="s">
        <v>28</v>
      </c>
      <c r="C49" s="189" t="s">
        <v>342</v>
      </c>
      <c r="D49" s="503" t="s">
        <v>278</v>
      </c>
      <c r="E49" s="507"/>
      <c r="F49" s="505"/>
      <c r="G49" s="505"/>
      <c r="H49" s="505"/>
      <c r="I49" s="505"/>
      <c r="J49" s="505"/>
      <c r="K49" s="179" t="str">
        <f>IF(ISBLANK(E49),"ručně doplnit",IF(E49="-","není ve výkazech",IF(C49="Rozvaha",VLOOKUP(E49,radky_R!$A:$B,2,0),IF(C49="Výsledovka",VLOOKUP(E49,radky_V!A:M,2,0)))))</f>
        <v>ručně doplnit</v>
      </c>
      <c r="R49" s="179" t="str">
        <f>IF(ISBLANK(L49),"není alternativa",IF(L49="-","není ve výkazech",VLOOKUP(L49,radky_R!$A:$B,2,0)))</f>
        <v>není alternativa</v>
      </c>
      <c r="S49" s="189" t="s">
        <v>255</v>
      </c>
      <c r="T49" s="189" t="s">
        <v>633</v>
      </c>
    </row>
    <row r="50" spans="1:20" x14ac:dyDescent="0.2">
      <c r="A50" s="196">
        <v>96</v>
      </c>
      <c r="B50" s="189" t="s">
        <v>29</v>
      </c>
      <c r="C50" s="189" t="s">
        <v>342</v>
      </c>
      <c r="D50" s="503" t="s">
        <v>278</v>
      </c>
      <c r="E50" s="507"/>
      <c r="F50" s="505"/>
      <c r="G50" s="505"/>
      <c r="H50" s="505"/>
      <c r="I50" s="505"/>
      <c r="J50" s="505"/>
      <c r="K50" s="179" t="str">
        <f>IF(ISBLANK(E50),"ručně doplnit",IF(E50="-","není ve výkazech",IF(C50="Rozvaha",VLOOKUP(E50,radky_R!$A:$B,2,0),IF(C50="Výsledovka",VLOOKUP(E50,radky_V!A:M,2,0)))))</f>
        <v>ručně doplnit</v>
      </c>
      <c r="R50" s="179" t="str">
        <f>IF(ISBLANK(L50),"není alternativa",IF(L50="-","není ve výkazech",VLOOKUP(L50,radky_R!$A:$B,2,0)))</f>
        <v>není alternativa</v>
      </c>
      <c r="S50" s="189" t="s">
        <v>255</v>
      </c>
      <c r="T50" s="189" t="s">
        <v>634</v>
      </c>
    </row>
    <row r="51" spans="1:20" x14ac:dyDescent="0.2">
      <c r="A51" s="196">
        <v>97</v>
      </c>
      <c r="B51" s="189" t="s">
        <v>30</v>
      </c>
      <c r="C51" s="189" t="s">
        <v>342</v>
      </c>
      <c r="D51" s="503" t="s">
        <v>278</v>
      </c>
      <c r="E51" s="508">
        <v>19</v>
      </c>
      <c r="F51" s="504" t="s">
        <v>238</v>
      </c>
      <c r="G51" s="504" t="s">
        <v>249</v>
      </c>
      <c r="H51" s="504" t="s">
        <v>242</v>
      </c>
      <c r="I51" s="504"/>
      <c r="J51" s="504"/>
      <c r="K51" s="179" t="str">
        <f>IF(ISBLANK(E51),"ručně doplnit",IF(E51="-","není ve výkazech",IF(C51="Rozvaha",VLOOKUP(E51,radky_R!$A:$B,2,0),IF(C51="Výsledovka",VLOOKUP(E51,radky_V!A:M,2,0)))))</f>
        <v>Oceňovací rozdíl k nabytému majetku</v>
      </c>
      <c r="R51" s="179" t="str">
        <f>IF(ISBLANK(L51),"není alternativa",IF(L51="-","není ve výkazech",VLOOKUP(L51,radky_R!$A:$B,2,0)))</f>
        <v>není alternativa</v>
      </c>
      <c r="S51" s="189" t="s">
        <v>253</v>
      </c>
      <c r="T51" s="189" t="s">
        <v>633</v>
      </c>
    </row>
    <row r="52" spans="1:20" x14ac:dyDescent="0.2">
      <c r="A52" s="196">
        <v>98</v>
      </c>
      <c r="B52" s="189" t="s">
        <v>31</v>
      </c>
      <c r="C52" s="189" t="s">
        <v>342</v>
      </c>
      <c r="D52" s="503" t="s">
        <v>278</v>
      </c>
      <c r="E52" s="508">
        <v>19</v>
      </c>
      <c r="F52" s="504" t="s">
        <v>238</v>
      </c>
      <c r="G52" s="504" t="s">
        <v>249</v>
      </c>
      <c r="H52" s="504" t="s">
        <v>242</v>
      </c>
      <c r="I52" s="504"/>
      <c r="J52" s="504"/>
      <c r="K52" s="179" t="str">
        <f>IF(ISBLANK(E52),"ručně doplnit",IF(E52="-","není ve výkazech",IF(C52="Rozvaha",VLOOKUP(E52,radky_R!$A:$B,2,0),IF(C52="Výsledovka",VLOOKUP(E52,radky_V!A:M,2,0)))))</f>
        <v>Oceňovací rozdíl k nabytému majetku</v>
      </c>
      <c r="R52" s="179" t="str">
        <f>IF(ISBLANK(L52),"není alternativa",IF(L52="-","není ve výkazech",VLOOKUP(L52,radky_R!$A:$B,2,0)))</f>
        <v>není alternativa</v>
      </c>
      <c r="S52" s="189" t="s">
        <v>255</v>
      </c>
      <c r="T52" s="189" t="s">
        <v>633</v>
      </c>
    </row>
    <row r="53" spans="1:20" x14ac:dyDescent="0.2">
      <c r="A53" s="196">
        <v>111</v>
      </c>
      <c r="B53" s="189" t="s">
        <v>32</v>
      </c>
      <c r="C53" s="189" t="s">
        <v>342</v>
      </c>
      <c r="D53" s="503" t="s">
        <v>278</v>
      </c>
      <c r="E53" s="508">
        <v>39</v>
      </c>
      <c r="F53" s="504" t="s">
        <v>264</v>
      </c>
      <c r="G53" s="504" t="s">
        <v>239</v>
      </c>
      <c r="H53" s="504" t="s">
        <v>240</v>
      </c>
      <c r="I53" s="504"/>
      <c r="J53" s="504"/>
      <c r="K53" s="179" t="str">
        <f>IF(ISBLANK(E53),"ručně doplnit",IF(E53="-","není ve výkazech",IF(C53="Rozvaha",VLOOKUP(E53,radky_R!$A:$B,2,0),IF(C53="Výsledovka",VLOOKUP(E53,radky_V!A:M,2,0)))))</f>
        <v>Materiál</v>
      </c>
      <c r="R53" s="179" t="str">
        <f>IF(ISBLANK(L53),"není alternativa",IF(L53="-","není ve výkazech",VLOOKUP(L53,radky_R!$A:$B,2,0)))</f>
        <v>není alternativa</v>
      </c>
      <c r="S53" s="189" t="s">
        <v>253</v>
      </c>
      <c r="T53" s="189" t="s">
        <v>635</v>
      </c>
    </row>
    <row r="54" spans="1:20" x14ac:dyDescent="0.2">
      <c r="A54" s="196">
        <v>112</v>
      </c>
      <c r="B54" s="189" t="s">
        <v>33</v>
      </c>
      <c r="C54" s="189" t="s">
        <v>342</v>
      </c>
      <c r="D54" s="503" t="s">
        <v>278</v>
      </c>
      <c r="E54" s="508">
        <v>39</v>
      </c>
      <c r="F54" s="504" t="s">
        <v>264</v>
      </c>
      <c r="G54" s="504" t="s">
        <v>239</v>
      </c>
      <c r="H54" s="504" t="s">
        <v>240</v>
      </c>
      <c r="I54" s="504"/>
      <c r="J54" s="504"/>
      <c r="K54" s="179" t="str">
        <f>IF(ISBLANK(E54),"ručně doplnit",IF(E54="-","není ve výkazech",IF(C54="Rozvaha",VLOOKUP(E54,radky_R!$A:$B,2,0),IF(C54="Výsledovka",VLOOKUP(E54,radky_V!A:M,2,0)))))</f>
        <v>Materiál</v>
      </c>
      <c r="R54" s="179" t="str">
        <f>IF(ISBLANK(L54),"není alternativa",IF(L54="-","není ve výkazech",VLOOKUP(L54,radky_R!$A:$B,2,0)))</f>
        <v>není alternativa</v>
      </c>
      <c r="S54" s="189" t="s">
        <v>253</v>
      </c>
      <c r="T54" s="189" t="s">
        <v>635</v>
      </c>
    </row>
    <row r="55" spans="1:20" x14ac:dyDescent="0.2">
      <c r="A55" s="196">
        <v>119</v>
      </c>
      <c r="B55" s="189" t="s">
        <v>34</v>
      </c>
      <c r="C55" s="189" t="s">
        <v>342</v>
      </c>
      <c r="D55" s="503" t="s">
        <v>278</v>
      </c>
      <c r="E55" s="508">
        <v>39</v>
      </c>
      <c r="F55" s="504" t="s">
        <v>264</v>
      </c>
      <c r="G55" s="504" t="s">
        <v>239</v>
      </c>
      <c r="H55" s="504" t="s">
        <v>240</v>
      </c>
      <c r="I55" s="504"/>
      <c r="J55" s="504"/>
      <c r="K55" s="179" t="str">
        <f>IF(ISBLANK(E55),"ručně doplnit",IF(E55="-","není ve výkazech",IF(C55="Rozvaha",VLOOKUP(E55,radky_R!$A:$B,2,0),IF(C55="Výsledovka",VLOOKUP(E55,radky_V!A:M,2,0)))))</f>
        <v>Materiál</v>
      </c>
      <c r="R55" s="179" t="str">
        <f>IF(ISBLANK(L55),"není alternativa",IF(L55="-","není ve výkazech",VLOOKUP(L55,radky_R!$A:$B,2,0)))</f>
        <v>není alternativa</v>
      </c>
      <c r="S55" s="189" t="s">
        <v>253</v>
      </c>
      <c r="T55" s="189" t="s">
        <v>635</v>
      </c>
    </row>
    <row r="56" spans="1:20" x14ac:dyDescent="0.2">
      <c r="A56" s="196">
        <v>121</v>
      </c>
      <c r="B56" s="189" t="s">
        <v>35</v>
      </c>
      <c r="C56" s="189" t="s">
        <v>342</v>
      </c>
      <c r="D56" s="503" t="s">
        <v>278</v>
      </c>
      <c r="E56" s="508">
        <v>40</v>
      </c>
      <c r="F56" s="504" t="s">
        <v>264</v>
      </c>
      <c r="G56" s="504" t="s">
        <v>239</v>
      </c>
      <c r="H56" s="504" t="s">
        <v>241</v>
      </c>
      <c r="I56" s="504"/>
      <c r="J56" s="504"/>
      <c r="K56" s="179" t="str">
        <f>IF(ISBLANK(E56),"ručně doplnit",IF(E56="-","není ve výkazech",IF(C56="Rozvaha",VLOOKUP(E56,radky_R!$A:$B,2,0),IF(C56="Výsledovka",VLOOKUP(E56,radky_V!A:M,2,0)))))</f>
        <v>Nedokončená výroba a polotovary</v>
      </c>
      <c r="R56" s="179" t="str">
        <f>IF(ISBLANK(L56),"není alternativa",IF(L56="-","není ve výkazech",VLOOKUP(L56,radky_R!$A:$B,2,0)))</f>
        <v>není alternativa</v>
      </c>
      <c r="S56" s="189" t="s">
        <v>253</v>
      </c>
      <c r="T56" s="189" t="s">
        <v>635</v>
      </c>
    </row>
    <row r="57" spans="1:20" x14ac:dyDescent="0.2">
      <c r="A57" s="196">
        <v>122</v>
      </c>
      <c r="B57" s="189" t="s">
        <v>36</v>
      </c>
      <c r="C57" s="189" t="s">
        <v>342</v>
      </c>
      <c r="D57" s="503" t="s">
        <v>278</v>
      </c>
      <c r="E57" s="508">
        <v>40</v>
      </c>
      <c r="F57" s="504" t="s">
        <v>264</v>
      </c>
      <c r="G57" s="504" t="s">
        <v>239</v>
      </c>
      <c r="H57" s="504" t="s">
        <v>241</v>
      </c>
      <c r="I57" s="504"/>
      <c r="J57" s="504"/>
      <c r="K57" s="179" t="str">
        <f>IF(ISBLANK(E57),"ručně doplnit",IF(E57="-","není ve výkazech",IF(C57="Rozvaha",VLOOKUP(E57,radky_R!$A:$B,2,0),IF(C57="Výsledovka",VLOOKUP(E57,radky_V!A:M,2,0)))))</f>
        <v>Nedokončená výroba a polotovary</v>
      </c>
      <c r="R57" s="179" t="str">
        <f>IF(ISBLANK(L57),"není alternativa",IF(L57="-","není ve výkazech",VLOOKUP(L57,radky_R!$A:$B,2,0)))</f>
        <v>není alternativa</v>
      </c>
      <c r="S57" s="189" t="s">
        <v>253</v>
      </c>
      <c r="T57" s="189" t="s">
        <v>635</v>
      </c>
    </row>
    <row r="58" spans="1:20" x14ac:dyDescent="0.2">
      <c r="A58" s="196">
        <v>123</v>
      </c>
      <c r="B58" s="189" t="s">
        <v>37</v>
      </c>
      <c r="C58" s="189" t="s">
        <v>342</v>
      </c>
      <c r="D58" s="503" t="s">
        <v>278</v>
      </c>
      <c r="E58" s="508">
        <v>42</v>
      </c>
      <c r="F58" s="504" t="s">
        <v>264</v>
      </c>
      <c r="G58" s="504" t="s">
        <v>239</v>
      </c>
      <c r="H58" s="504" t="s">
        <v>242</v>
      </c>
      <c r="I58" s="504" t="s">
        <v>240</v>
      </c>
      <c r="J58" s="504"/>
      <c r="K58" s="179" t="str">
        <f>IF(ISBLANK(E58),"ručně doplnit",IF(E58="-","není ve výkazech",IF(C58="Rozvaha",VLOOKUP(E58,radky_R!$A:$B,2,0),IF(C58="Výsledovka",VLOOKUP(E58,radky_V!A:M,2,0)))))</f>
        <v>Výrobky</v>
      </c>
      <c r="R58" s="179" t="str">
        <f>IF(ISBLANK(L58),"není alternativa",IF(L58="-","není ve výkazech",VLOOKUP(L58,radky_R!$A:$B,2,0)))</f>
        <v>není alternativa</v>
      </c>
      <c r="S58" s="189" t="s">
        <v>253</v>
      </c>
      <c r="T58" s="189" t="s">
        <v>635</v>
      </c>
    </row>
    <row r="59" spans="1:20" x14ac:dyDescent="0.2">
      <c r="A59" s="196">
        <v>124</v>
      </c>
      <c r="B59" s="189" t="s">
        <v>38</v>
      </c>
      <c r="C59" s="189" t="s">
        <v>342</v>
      </c>
      <c r="D59" s="503" t="s">
        <v>278</v>
      </c>
      <c r="E59" s="508">
        <v>44</v>
      </c>
      <c r="F59" s="504" t="s">
        <v>264</v>
      </c>
      <c r="G59" s="504" t="s">
        <v>239</v>
      </c>
      <c r="H59" s="504" t="s">
        <v>243</v>
      </c>
      <c r="I59" s="504"/>
      <c r="J59" s="504"/>
      <c r="K59" s="179" t="str">
        <f>IF(ISBLANK(E59),"ručně doplnit",IF(E59="-","není ve výkazech",IF(C59="Rozvaha",VLOOKUP(E59,radky_R!$A:$B,2,0),IF(C59="Výsledovka",VLOOKUP(E59,radky_V!A:M,2,0)))))</f>
        <v>Mladá a ostatní zvířata a jejich skupiny</v>
      </c>
      <c r="R59" s="179" t="str">
        <f>IF(ISBLANK(L59),"není alternativa",IF(L59="-","není ve výkazech",VLOOKUP(L59,radky_R!$A:$B,2,0)))</f>
        <v>není alternativa</v>
      </c>
      <c r="S59" s="189" t="s">
        <v>253</v>
      </c>
      <c r="T59" s="189" t="s">
        <v>635</v>
      </c>
    </row>
    <row r="60" spans="1:20" x14ac:dyDescent="0.2">
      <c r="A60" s="196">
        <v>131</v>
      </c>
      <c r="B60" s="189" t="s">
        <v>39</v>
      </c>
      <c r="C60" s="189" t="s">
        <v>342</v>
      </c>
      <c r="D60" s="503" t="s">
        <v>278</v>
      </c>
      <c r="E60" s="508">
        <v>43</v>
      </c>
      <c r="F60" s="504" t="s">
        <v>264</v>
      </c>
      <c r="G60" s="504" t="s">
        <v>239</v>
      </c>
      <c r="H60" s="504" t="s">
        <v>242</v>
      </c>
      <c r="I60" s="504" t="s">
        <v>241</v>
      </c>
      <c r="J60" s="504"/>
      <c r="K60" s="179" t="str">
        <f>IF(ISBLANK(E60),"ručně doplnit",IF(E60="-","není ve výkazech",IF(C60="Rozvaha",VLOOKUP(E60,radky_R!$A:$B,2,0),IF(C60="Výsledovka",VLOOKUP(E60,radky_V!A:M,2,0)))))</f>
        <v>Zboží</v>
      </c>
      <c r="R60" s="179" t="str">
        <f>IF(ISBLANK(L60),"není alternativa",IF(L60="-","není ve výkazech",VLOOKUP(L60,radky_R!$A:$B,2,0)))</f>
        <v>není alternativa</v>
      </c>
      <c r="S60" s="189" t="s">
        <v>253</v>
      </c>
      <c r="T60" s="189" t="s">
        <v>635</v>
      </c>
    </row>
    <row r="61" spans="1:20" x14ac:dyDescent="0.2">
      <c r="A61" s="196">
        <v>132</v>
      </c>
      <c r="B61" s="189" t="s">
        <v>40</v>
      </c>
      <c r="C61" s="189" t="s">
        <v>342</v>
      </c>
      <c r="D61" s="503" t="s">
        <v>278</v>
      </c>
      <c r="E61" s="508">
        <v>43</v>
      </c>
      <c r="F61" s="504" t="s">
        <v>264</v>
      </c>
      <c r="G61" s="504" t="s">
        <v>239</v>
      </c>
      <c r="H61" s="504" t="s">
        <v>242</v>
      </c>
      <c r="I61" s="504" t="s">
        <v>241</v>
      </c>
      <c r="J61" s="504"/>
      <c r="K61" s="179" t="str">
        <f>IF(ISBLANK(E61),"ručně doplnit",IF(E61="-","není ve výkazech",IF(C61="Rozvaha",VLOOKUP(E61,radky_R!$A:$B,2,0),IF(C61="Výsledovka",VLOOKUP(E61,radky_V!A:M,2,0)))))</f>
        <v>Zboží</v>
      </c>
      <c r="R61" s="179" t="str">
        <f>IF(ISBLANK(L61),"není alternativa",IF(L61="-","není ve výkazech",VLOOKUP(L61,radky_R!$A:$B,2,0)))</f>
        <v>není alternativa</v>
      </c>
      <c r="S61" s="189" t="s">
        <v>253</v>
      </c>
      <c r="T61" s="189" t="s">
        <v>635</v>
      </c>
    </row>
    <row r="62" spans="1:20" x14ac:dyDescent="0.2">
      <c r="A62" s="196">
        <v>139</v>
      </c>
      <c r="B62" s="189" t="s">
        <v>41</v>
      </c>
      <c r="C62" s="189" t="s">
        <v>342</v>
      </c>
      <c r="D62" s="503" t="s">
        <v>278</v>
      </c>
      <c r="E62" s="508">
        <v>43</v>
      </c>
      <c r="F62" s="504" t="s">
        <v>264</v>
      </c>
      <c r="G62" s="504" t="s">
        <v>239</v>
      </c>
      <c r="H62" s="504" t="s">
        <v>242</v>
      </c>
      <c r="I62" s="504" t="s">
        <v>241</v>
      </c>
      <c r="J62" s="504"/>
      <c r="K62" s="179" t="str">
        <f>IF(ISBLANK(E62),"ručně doplnit",IF(E62="-","není ve výkazech",IF(C62="Rozvaha",VLOOKUP(E62,radky_R!$A:$B,2,0),IF(C62="Výsledovka",VLOOKUP(E62,radky_V!A:M,2,0)))))</f>
        <v>Zboží</v>
      </c>
      <c r="R62" s="179" t="str">
        <f>IF(ISBLANK(L62),"není alternativa",IF(L62="-","není ve výkazech",VLOOKUP(L62,radky_R!$A:$B,2,0)))</f>
        <v>není alternativa</v>
      </c>
      <c r="S62" s="189" t="s">
        <v>253</v>
      </c>
      <c r="T62" s="189" t="s">
        <v>635</v>
      </c>
    </row>
    <row r="63" spans="1:20" x14ac:dyDescent="0.2">
      <c r="A63" s="196">
        <v>151</v>
      </c>
      <c r="B63" s="189" t="s">
        <v>42</v>
      </c>
      <c r="C63" s="189" t="s">
        <v>342</v>
      </c>
      <c r="D63" s="503" t="s">
        <v>278</v>
      </c>
      <c r="E63" s="508">
        <v>45</v>
      </c>
      <c r="F63" s="504" t="s">
        <v>264</v>
      </c>
      <c r="G63" s="504" t="s">
        <v>239</v>
      </c>
      <c r="H63" s="504" t="s">
        <v>244</v>
      </c>
      <c r="I63" s="504"/>
      <c r="J63" s="504"/>
      <c r="K63" s="179" t="str">
        <f>IF(ISBLANK(E63),"ručně doplnit",IF(E63="-","není ve výkazech",IF(C63="Rozvaha",VLOOKUP(E63,radky_R!$A:$B,2,0),IF(C63="Výsledovka",VLOOKUP(E63,radky_V!A:M,2,0)))))</f>
        <v>Poskytnuté zálohy na zásoby</v>
      </c>
      <c r="R63" s="179" t="str">
        <f>IF(ISBLANK(L63),"není alternativa",IF(L63="-","není ve výkazech",VLOOKUP(L63,radky_R!$A:$B,2,0)))</f>
        <v>není alternativa</v>
      </c>
      <c r="S63" s="189" t="s">
        <v>253</v>
      </c>
      <c r="T63" s="189" t="s">
        <v>635</v>
      </c>
    </row>
    <row r="64" spans="1:20" x14ac:dyDescent="0.2">
      <c r="A64" s="196">
        <v>152</v>
      </c>
      <c r="B64" s="189" t="s">
        <v>43</v>
      </c>
      <c r="C64" s="189" t="s">
        <v>342</v>
      </c>
      <c r="D64" s="503" t="s">
        <v>278</v>
      </c>
      <c r="E64" s="508">
        <v>45</v>
      </c>
      <c r="F64" s="504" t="s">
        <v>264</v>
      </c>
      <c r="G64" s="504" t="s">
        <v>239</v>
      </c>
      <c r="H64" s="504" t="s">
        <v>244</v>
      </c>
      <c r="I64" s="504"/>
      <c r="J64" s="504"/>
      <c r="K64" s="179" t="str">
        <f>IF(ISBLANK(E64),"ručně doplnit",IF(E64="-","není ve výkazech",IF(C64="Rozvaha",VLOOKUP(E64,radky_R!$A:$B,2,0),IF(C64="Výsledovka",VLOOKUP(E64,radky_V!A:M,2,0)))))</f>
        <v>Poskytnuté zálohy na zásoby</v>
      </c>
      <c r="R64" s="179" t="str">
        <f>IF(ISBLANK(L64),"není alternativa",IF(L64="-","není ve výkazech",VLOOKUP(L64,radky_R!$A:$B,2,0)))</f>
        <v>není alternativa</v>
      </c>
      <c r="S64" s="189" t="s">
        <v>253</v>
      </c>
      <c r="T64" s="189" t="s">
        <v>635</v>
      </c>
    </row>
    <row r="65" spans="1:20" x14ac:dyDescent="0.2">
      <c r="A65" s="196">
        <v>153</v>
      </c>
      <c r="B65" s="189" t="s">
        <v>44</v>
      </c>
      <c r="C65" s="189" t="s">
        <v>342</v>
      </c>
      <c r="D65" s="503" t="s">
        <v>278</v>
      </c>
      <c r="E65" s="508">
        <v>45</v>
      </c>
      <c r="F65" s="504" t="s">
        <v>264</v>
      </c>
      <c r="G65" s="504" t="s">
        <v>239</v>
      </c>
      <c r="H65" s="504" t="s">
        <v>244</v>
      </c>
      <c r="I65" s="504"/>
      <c r="J65" s="504"/>
      <c r="K65" s="179" t="str">
        <f>IF(ISBLANK(E65),"ručně doplnit",IF(E65="-","není ve výkazech",IF(C65="Rozvaha",VLOOKUP(E65,radky_R!$A:$B,2,0),IF(C65="Výsledovka",VLOOKUP(E65,radky_V!A:M,2,0)))))</f>
        <v>Poskytnuté zálohy na zásoby</v>
      </c>
      <c r="R65" s="179" t="str">
        <f>IF(ISBLANK(L65),"není alternativa",IF(L65="-","není ve výkazech",VLOOKUP(L65,radky_R!$A:$B,2,0)))</f>
        <v>není alternativa</v>
      </c>
      <c r="S65" s="189" t="s">
        <v>253</v>
      </c>
      <c r="T65" s="189" t="s">
        <v>635</v>
      </c>
    </row>
    <row r="66" spans="1:20" x14ac:dyDescent="0.2">
      <c r="A66" s="196">
        <v>191</v>
      </c>
      <c r="B66" s="189" t="s">
        <v>45</v>
      </c>
      <c r="C66" s="189" t="s">
        <v>342</v>
      </c>
      <c r="D66" s="503" t="s">
        <v>278</v>
      </c>
      <c r="E66" s="508">
        <v>39</v>
      </c>
      <c r="F66" s="504" t="s">
        <v>264</v>
      </c>
      <c r="G66" s="504" t="s">
        <v>239</v>
      </c>
      <c r="H66" s="504" t="s">
        <v>240</v>
      </c>
      <c r="I66" s="504"/>
      <c r="J66" s="504"/>
      <c r="K66" s="179" t="str">
        <f>IF(ISBLANK(E66),"ručně doplnit",IF(E66="-","není ve výkazech",IF(C66="Rozvaha",VLOOKUP(E66,radky_R!$A:$B,2,0),IF(C66="Výsledovka",VLOOKUP(E66,radky_V!A:M,2,0)))))</f>
        <v>Materiál</v>
      </c>
      <c r="R66" s="179" t="str">
        <f>IF(ISBLANK(L66),"není alternativa",IF(L66="-","není ve výkazech",VLOOKUP(L66,radky_R!$A:$B,2,0)))</f>
        <v>není alternativa</v>
      </c>
      <c r="S66" s="189" t="s">
        <v>255</v>
      </c>
      <c r="T66" s="189" t="s">
        <v>635</v>
      </c>
    </row>
    <row r="67" spans="1:20" x14ac:dyDescent="0.2">
      <c r="A67" s="196">
        <v>192</v>
      </c>
      <c r="B67" s="189" t="s">
        <v>46</v>
      </c>
      <c r="C67" s="189" t="s">
        <v>342</v>
      </c>
      <c r="D67" s="503" t="s">
        <v>278</v>
      </c>
      <c r="E67" s="508">
        <v>40</v>
      </c>
      <c r="F67" s="504" t="s">
        <v>264</v>
      </c>
      <c r="G67" s="504" t="s">
        <v>239</v>
      </c>
      <c r="H67" s="504" t="s">
        <v>241</v>
      </c>
      <c r="I67" s="504"/>
      <c r="J67" s="504"/>
      <c r="K67" s="179" t="str">
        <f>IF(ISBLANK(E67),"ručně doplnit",IF(E67="-","není ve výkazech",IF(C67="Rozvaha",VLOOKUP(E67,radky_R!$A:$B,2,0),IF(C67="Výsledovka",VLOOKUP(E67,radky_V!A:M,2,0)))))</f>
        <v>Nedokončená výroba a polotovary</v>
      </c>
      <c r="R67" s="179" t="str">
        <f>IF(ISBLANK(L67),"není alternativa",IF(L67="-","není ve výkazech",VLOOKUP(L67,radky_R!$A:$B,2,0)))</f>
        <v>není alternativa</v>
      </c>
      <c r="S67" s="189" t="s">
        <v>255</v>
      </c>
      <c r="T67" s="189" t="s">
        <v>635</v>
      </c>
    </row>
    <row r="68" spans="1:20" x14ac:dyDescent="0.2">
      <c r="A68" s="196">
        <v>193</v>
      </c>
      <c r="B68" s="189" t="s">
        <v>47</v>
      </c>
      <c r="C68" s="189" t="s">
        <v>342</v>
      </c>
      <c r="D68" s="503" t="s">
        <v>278</v>
      </c>
      <c r="E68" s="508">
        <v>40</v>
      </c>
      <c r="F68" s="504" t="s">
        <v>264</v>
      </c>
      <c r="G68" s="504" t="s">
        <v>239</v>
      </c>
      <c r="H68" s="504" t="s">
        <v>241</v>
      </c>
      <c r="I68" s="504"/>
      <c r="J68" s="504"/>
      <c r="K68" s="179" t="str">
        <f>IF(ISBLANK(E68),"ručně doplnit",IF(E68="-","není ve výkazech",IF(C68="Rozvaha",VLOOKUP(E68,radky_R!$A:$B,2,0),IF(C68="Výsledovka",VLOOKUP(E68,radky_V!A:M,2,0)))))</f>
        <v>Nedokončená výroba a polotovary</v>
      </c>
      <c r="R68" s="179" t="str">
        <f>IF(ISBLANK(L68),"není alternativa",IF(L68="-","není ve výkazech",VLOOKUP(L68,radky_R!$A:$B,2,0)))</f>
        <v>není alternativa</v>
      </c>
      <c r="S68" s="189" t="s">
        <v>255</v>
      </c>
      <c r="T68" s="189" t="s">
        <v>635</v>
      </c>
    </row>
    <row r="69" spans="1:20" x14ac:dyDescent="0.2">
      <c r="A69" s="196">
        <v>194</v>
      </c>
      <c r="B69" s="189" t="s">
        <v>48</v>
      </c>
      <c r="C69" s="189" t="s">
        <v>342</v>
      </c>
      <c r="D69" s="503" t="s">
        <v>278</v>
      </c>
      <c r="E69" s="508">
        <v>42</v>
      </c>
      <c r="F69" s="504" t="s">
        <v>264</v>
      </c>
      <c r="G69" s="504" t="s">
        <v>239</v>
      </c>
      <c r="H69" s="504" t="s">
        <v>242</v>
      </c>
      <c r="I69" s="504" t="s">
        <v>240</v>
      </c>
      <c r="J69" s="504"/>
      <c r="K69" s="179" t="str">
        <f>IF(ISBLANK(E69),"ručně doplnit",IF(E69="-","není ve výkazech",IF(C69="Rozvaha",VLOOKUP(E69,radky_R!$A:$B,2,0),IF(C69="Výsledovka",VLOOKUP(E69,radky_V!A:M,2,0)))))</f>
        <v>Výrobky</v>
      </c>
      <c r="R69" s="179" t="str">
        <f>IF(ISBLANK(L69),"není alternativa",IF(L69="-","není ve výkazech",VLOOKUP(L69,radky_R!$A:$B,2,0)))</f>
        <v>není alternativa</v>
      </c>
      <c r="S69" s="189" t="s">
        <v>255</v>
      </c>
      <c r="T69" s="189" t="s">
        <v>635</v>
      </c>
    </row>
    <row r="70" spans="1:20" x14ac:dyDescent="0.2">
      <c r="A70" s="196">
        <v>195</v>
      </c>
      <c r="B70" s="189" t="s">
        <v>49</v>
      </c>
      <c r="C70" s="189" t="s">
        <v>342</v>
      </c>
      <c r="D70" s="503" t="s">
        <v>278</v>
      </c>
      <c r="E70" s="508">
        <v>44</v>
      </c>
      <c r="F70" s="504" t="s">
        <v>264</v>
      </c>
      <c r="G70" s="504" t="s">
        <v>239</v>
      </c>
      <c r="H70" s="504" t="s">
        <v>243</v>
      </c>
      <c r="I70" s="504"/>
      <c r="J70" s="504"/>
      <c r="K70" s="179" t="str">
        <f>IF(ISBLANK(E70),"ručně doplnit",IF(E70="-","není ve výkazech",IF(C70="Rozvaha",VLOOKUP(E70,radky_R!$A:$B,2,0),IF(C70="Výsledovka",VLOOKUP(E70,radky_V!A:M,2,0)))))</f>
        <v>Mladá a ostatní zvířata a jejich skupiny</v>
      </c>
      <c r="R70" s="179" t="str">
        <f>IF(ISBLANK(L70),"není alternativa",IF(L70="-","není ve výkazech",VLOOKUP(L70,radky_R!$A:$B,2,0)))</f>
        <v>není alternativa</v>
      </c>
      <c r="S70" s="189" t="s">
        <v>255</v>
      </c>
      <c r="T70" s="189" t="s">
        <v>635</v>
      </c>
    </row>
    <row r="71" spans="1:20" x14ac:dyDescent="0.2">
      <c r="A71" s="196">
        <v>196</v>
      </c>
      <c r="B71" s="189" t="s">
        <v>50</v>
      </c>
      <c r="C71" s="189" t="s">
        <v>342</v>
      </c>
      <c r="D71" s="503" t="s">
        <v>278</v>
      </c>
      <c r="E71" s="508">
        <v>43</v>
      </c>
      <c r="F71" s="504" t="s">
        <v>264</v>
      </c>
      <c r="G71" s="504" t="s">
        <v>239</v>
      </c>
      <c r="H71" s="504" t="s">
        <v>242</v>
      </c>
      <c r="I71" s="504" t="s">
        <v>241</v>
      </c>
      <c r="J71" s="504"/>
      <c r="K71" s="179" t="str">
        <f>IF(ISBLANK(E71),"ručně doplnit",IF(E71="-","není ve výkazech",IF(C71="Rozvaha",VLOOKUP(E71,radky_R!$A:$B,2,0),IF(C71="Výsledovka",VLOOKUP(E71,radky_V!A:M,2,0)))))</f>
        <v>Zboží</v>
      </c>
      <c r="R71" s="179" t="str">
        <f>IF(ISBLANK(L71),"není alternativa",IF(L71="-","není ve výkazech",VLOOKUP(L71,radky_R!$A:$B,2,0)))</f>
        <v>není alternativa</v>
      </c>
      <c r="S71" s="189" t="s">
        <v>255</v>
      </c>
      <c r="T71" s="189" t="s">
        <v>635</v>
      </c>
    </row>
    <row r="72" spans="1:20" x14ac:dyDescent="0.2">
      <c r="A72" s="196">
        <v>197</v>
      </c>
      <c r="B72" s="189" t="s">
        <v>51</v>
      </c>
      <c r="C72" s="189" t="s">
        <v>342</v>
      </c>
      <c r="D72" s="503" t="s">
        <v>278</v>
      </c>
      <c r="E72" s="508">
        <v>45</v>
      </c>
      <c r="F72" s="504" t="s">
        <v>264</v>
      </c>
      <c r="G72" s="504" t="s">
        <v>239</v>
      </c>
      <c r="H72" s="504" t="s">
        <v>244</v>
      </c>
      <c r="I72" s="504"/>
      <c r="J72" s="504"/>
      <c r="K72" s="179" t="str">
        <f>IF(ISBLANK(E72),"ručně doplnit",IF(E72="-","není ve výkazech",IF(C72="Rozvaha",VLOOKUP(E72,radky_R!$A:$B,2,0),IF(C72="Výsledovka",VLOOKUP(E72,radky_V!A:M,2,0)))))</f>
        <v>Poskytnuté zálohy na zásoby</v>
      </c>
      <c r="R72" s="179" t="str">
        <f>IF(ISBLANK(L72),"není alternativa",IF(L72="-","není ve výkazech",VLOOKUP(L72,radky_R!$A:$B,2,0)))</f>
        <v>není alternativa</v>
      </c>
      <c r="S72" s="189" t="s">
        <v>255</v>
      </c>
      <c r="T72" s="189" t="s">
        <v>635</v>
      </c>
    </row>
    <row r="73" spans="1:20" x14ac:dyDescent="0.2">
      <c r="A73" s="196">
        <v>198</v>
      </c>
      <c r="B73" s="189" t="s">
        <v>52</v>
      </c>
      <c r="C73" s="189" t="s">
        <v>342</v>
      </c>
      <c r="D73" s="503" t="s">
        <v>278</v>
      </c>
      <c r="E73" s="508">
        <v>45</v>
      </c>
      <c r="F73" s="504" t="s">
        <v>264</v>
      </c>
      <c r="G73" s="504" t="s">
        <v>239</v>
      </c>
      <c r="H73" s="504" t="s">
        <v>244</v>
      </c>
      <c r="I73" s="504"/>
      <c r="J73" s="504"/>
      <c r="K73" s="179" t="str">
        <f>IF(ISBLANK(E73),"ručně doplnit",IF(E73="-","není ve výkazech",IF(C73="Rozvaha",VLOOKUP(E73,radky_R!$A:$B,2,0),IF(C73="Výsledovka",VLOOKUP(E73,radky_V!A:M,2,0)))))</f>
        <v>Poskytnuté zálohy na zásoby</v>
      </c>
      <c r="R73" s="179" t="str">
        <f>IF(ISBLANK(L73),"není alternativa",IF(L73="-","není ve výkazech",VLOOKUP(L73,radky_R!$A:$B,2,0)))</f>
        <v>není alternativa</v>
      </c>
      <c r="S73" s="189" t="s">
        <v>255</v>
      </c>
      <c r="T73" s="189" t="s">
        <v>635</v>
      </c>
    </row>
    <row r="74" spans="1:20" x14ac:dyDescent="0.2">
      <c r="A74" s="196">
        <v>199</v>
      </c>
      <c r="B74" s="189" t="s">
        <v>53</v>
      </c>
      <c r="C74" s="189" t="s">
        <v>342</v>
      </c>
      <c r="D74" s="503" t="s">
        <v>278</v>
      </c>
      <c r="E74" s="508">
        <v>45</v>
      </c>
      <c r="F74" s="504" t="s">
        <v>264</v>
      </c>
      <c r="G74" s="504" t="s">
        <v>239</v>
      </c>
      <c r="H74" s="504" t="s">
        <v>244</v>
      </c>
      <c r="I74" s="504"/>
      <c r="J74" s="504"/>
      <c r="K74" s="179" t="str">
        <f>IF(ISBLANK(E74),"ručně doplnit",IF(E74="-","není ve výkazech",IF(C74="Rozvaha",VLOOKUP(E74,radky_R!$A:$B,2,0),IF(C74="Výsledovka",VLOOKUP(E74,radky_V!A:M,2,0)))))</f>
        <v>Poskytnuté zálohy na zásoby</v>
      </c>
      <c r="R74" s="179" t="str">
        <f>IF(ISBLANK(L74),"není alternativa",IF(L74="-","není ve výkazech",VLOOKUP(L74,radky_R!$A:$B,2,0)))</f>
        <v>není alternativa</v>
      </c>
      <c r="S74" s="189" t="s">
        <v>255</v>
      </c>
      <c r="T74" s="189" t="s">
        <v>635</v>
      </c>
    </row>
    <row r="75" spans="1:20" x14ac:dyDescent="0.2">
      <c r="A75" s="196">
        <v>211</v>
      </c>
      <c r="B75" s="189" t="s">
        <v>54</v>
      </c>
      <c r="C75" s="189" t="s">
        <v>342</v>
      </c>
      <c r="D75" s="503" t="s">
        <v>278</v>
      </c>
      <c r="E75" s="508">
        <v>72</v>
      </c>
      <c r="F75" s="504" t="s">
        <v>264</v>
      </c>
      <c r="G75" s="504" t="s">
        <v>272</v>
      </c>
      <c r="H75" s="504" t="s">
        <v>240</v>
      </c>
      <c r="I75" s="504"/>
      <c r="J75" s="504"/>
      <c r="K75" s="179" t="str">
        <f>IF(ISBLANK(E75),"ručně doplnit",IF(E75="-","není ve výkazech",IF(C75="Rozvaha",VLOOKUP(E75,radky_R!$A:$B,2,0),IF(C75="Výsledovka",VLOOKUP(E75,radky_V!A:M,2,0)))))</f>
        <v>Peněžní prostředky v pokladně</v>
      </c>
      <c r="R75" s="179" t="str">
        <f>IF(ISBLANK(L75),"není alternativa",IF(L75="-","není ve výkazech",VLOOKUP(L75,radky_R!$A:$B,2,0)))</f>
        <v>není alternativa</v>
      </c>
      <c r="S75" s="189" t="s">
        <v>253</v>
      </c>
      <c r="T75" s="189" t="s">
        <v>634</v>
      </c>
    </row>
    <row r="76" spans="1:20" x14ac:dyDescent="0.2">
      <c r="A76" s="196">
        <v>213</v>
      </c>
      <c r="B76" s="189" t="s">
        <v>55</v>
      </c>
      <c r="C76" s="189" t="s">
        <v>342</v>
      </c>
      <c r="D76" s="503" t="s">
        <v>278</v>
      </c>
      <c r="E76" s="508">
        <v>72</v>
      </c>
      <c r="F76" s="504" t="s">
        <v>264</v>
      </c>
      <c r="G76" s="504" t="s">
        <v>272</v>
      </c>
      <c r="H76" s="504" t="s">
        <v>240</v>
      </c>
      <c r="I76" s="504"/>
      <c r="J76" s="504"/>
      <c r="K76" s="179" t="str">
        <f>IF(ISBLANK(E76),"ručně doplnit",IF(E76="-","není ve výkazech",IF(C76="Rozvaha",VLOOKUP(E76,radky_R!$A:$B,2,0),IF(C76="Výsledovka",VLOOKUP(E76,radky_V!A:M,2,0)))))</f>
        <v>Peněžní prostředky v pokladně</v>
      </c>
      <c r="R76" s="179" t="str">
        <f>IF(ISBLANK(L76),"není alternativa",IF(L76="-","není ve výkazech",VLOOKUP(L76,radky_R!$A:$B,2,0)))</f>
        <v>není alternativa</v>
      </c>
      <c r="S76" s="189" t="s">
        <v>253</v>
      </c>
      <c r="T76" s="189" t="s">
        <v>634</v>
      </c>
    </row>
    <row r="77" spans="1:20" x14ac:dyDescent="0.2">
      <c r="A77" s="196">
        <v>221</v>
      </c>
      <c r="B77" s="189" t="s">
        <v>56</v>
      </c>
      <c r="C77" s="189" t="s">
        <v>342</v>
      </c>
      <c r="D77" s="505" t="s">
        <v>316</v>
      </c>
      <c r="E77" s="508">
        <v>73</v>
      </c>
      <c r="F77" s="504" t="s">
        <v>264</v>
      </c>
      <c r="G77" s="504" t="s">
        <v>272</v>
      </c>
      <c r="H77" s="504" t="s">
        <v>241</v>
      </c>
      <c r="I77" s="504"/>
      <c r="J77" s="504"/>
      <c r="K77" s="179" t="str">
        <f>IF(ISBLANK(E77),"ručně doplnit",IF(E77="-","není ve výkazech",IF(C77="Rozvaha",VLOOKUP(E77,radky_R!$A:$B,2,0),IF(C77="Výsledovka",VLOOKUP(E77,radky_V!A:M,2,0)))))</f>
        <v>Peněžní prostředky na účtech</v>
      </c>
      <c r="L77" s="507">
        <v>120</v>
      </c>
      <c r="M77" s="505" t="s">
        <v>238</v>
      </c>
      <c r="N77" s="505" t="s">
        <v>272</v>
      </c>
      <c r="O77" s="505" t="s">
        <v>241</v>
      </c>
      <c r="P77" s="505"/>
      <c r="Q77" s="505"/>
      <c r="R77" s="179" t="str">
        <f>IF(ISBLANK(L77),"není alternativa",IF(L77="-","není ve výkazech",VLOOKUP(L77,radky_R!$A:$B,2,0)))</f>
        <v>Závazky ke společníkům</v>
      </c>
      <c r="S77" s="189" t="s">
        <v>253</v>
      </c>
      <c r="T77" s="189" t="s">
        <v>634</v>
      </c>
    </row>
    <row r="78" spans="1:20" x14ac:dyDescent="0.2">
      <c r="A78" s="196">
        <v>231</v>
      </c>
      <c r="B78" s="189" t="s">
        <v>760</v>
      </c>
      <c r="C78" s="189" t="s">
        <v>342</v>
      </c>
      <c r="D78" s="503" t="s">
        <v>290</v>
      </c>
      <c r="E78" s="508">
        <v>127</v>
      </c>
      <c r="F78" s="504" t="s">
        <v>264</v>
      </c>
      <c r="G78" s="504" t="s">
        <v>249</v>
      </c>
      <c r="H78" s="504" t="s">
        <v>241</v>
      </c>
      <c r="I78" s="504"/>
      <c r="J78" s="504"/>
      <c r="K78" s="179" t="str">
        <f>IF(ISBLANK(E78),"ručně doplnit",IF(E78="-","není ve výkazech",IF(C78="Rozvaha",VLOOKUP(E78,radky_R!$A:$B,2,0),IF(C78="Výsledovka",VLOOKUP(E78,radky_V!A:M,2,0)))))</f>
        <v>Závazky k úvěrovým institucím</v>
      </c>
      <c r="R78" s="179" t="str">
        <f>IF(ISBLANK(L78),"není alternativa",IF(L78="-","není ve výkazech",VLOOKUP(L78,radky_R!$A:$B,2,0)))</f>
        <v>není alternativa</v>
      </c>
      <c r="S78" s="189" t="s">
        <v>253</v>
      </c>
      <c r="T78" s="189" t="s">
        <v>634</v>
      </c>
    </row>
    <row r="79" spans="1:20" x14ac:dyDescent="0.2">
      <c r="A79" s="196">
        <v>232</v>
      </c>
      <c r="B79" s="189" t="s">
        <v>57</v>
      </c>
      <c r="C79" s="189" t="s">
        <v>342</v>
      </c>
      <c r="D79" s="503" t="s">
        <v>290</v>
      </c>
      <c r="E79" s="508">
        <v>127</v>
      </c>
      <c r="F79" s="504" t="s">
        <v>264</v>
      </c>
      <c r="G79" s="504" t="s">
        <v>249</v>
      </c>
      <c r="H79" s="504" t="s">
        <v>241</v>
      </c>
      <c r="I79" s="504"/>
      <c r="J79" s="504"/>
      <c r="K79" s="179" t="str">
        <f>IF(ISBLANK(E79),"ručně doplnit",IF(E79="-","není ve výkazech",IF(C79="Rozvaha",VLOOKUP(E79,radky_R!$A:$B,2,0),IF(C79="Výsledovka",VLOOKUP(E79,radky_V!A:M,2,0)))))</f>
        <v>Závazky k úvěrovým institucím</v>
      </c>
      <c r="R79" s="179" t="str">
        <f>IF(ISBLANK(L79),"není alternativa",IF(L79="-","není ve výkazech",VLOOKUP(L79,radky_R!$A:$B,2,0)))</f>
        <v>není alternativa</v>
      </c>
      <c r="S79" s="189" t="s">
        <v>253</v>
      </c>
      <c r="T79" s="189" t="s">
        <v>634</v>
      </c>
    </row>
    <row r="80" spans="1:20" x14ac:dyDescent="0.2">
      <c r="A80" s="196">
        <v>241</v>
      </c>
      <c r="B80" s="189" t="s">
        <v>58</v>
      </c>
      <c r="C80" s="189" t="s">
        <v>342</v>
      </c>
      <c r="D80" s="503" t="s">
        <v>290</v>
      </c>
      <c r="E80" s="508">
        <v>48</v>
      </c>
      <c r="F80" s="504" t="s">
        <v>264</v>
      </c>
      <c r="G80" s="504" t="s">
        <v>249</v>
      </c>
      <c r="H80" s="504" t="s">
        <v>240</v>
      </c>
      <c r="I80" s="504" t="s">
        <v>240</v>
      </c>
      <c r="J80" s="504"/>
      <c r="K80" s="179" t="str">
        <f>IF(ISBLANK(E80),"ručně doplnit",IF(E80="-","není ve výkazech",IF(C80="Rozvaha",VLOOKUP(E80,radky_R!$A:$B,2,0),IF(C80="Výsledovka",VLOOKUP(E80,radky_V!A:M,2,0)))))</f>
        <v>Pohledávky z obchodních vztahů</v>
      </c>
      <c r="L80" s="508">
        <v>49</v>
      </c>
      <c r="M80" s="504" t="s">
        <v>264</v>
      </c>
      <c r="N80" s="504" t="s">
        <v>249</v>
      </c>
      <c r="O80" s="504" t="s">
        <v>240</v>
      </c>
      <c r="P80" s="504" t="s">
        <v>241</v>
      </c>
      <c r="Q80" s="504"/>
      <c r="R80" s="179" t="str">
        <f>IF(ISBLANK(L80),"není alternativa",IF(L80="-","není ve výkazech",VLOOKUP(L80,radky_R!$A:$B,2,0)))</f>
        <v>Pohledávky - ovládaná nebo ovládající osoba</v>
      </c>
      <c r="S80" s="189" t="s">
        <v>253</v>
      </c>
      <c r="T80" s="189" t="s">
        <v>634</v>
      </c>
    </row>
    <row r="81" spans="1:20" x14ac:dyDescent="0.2">
      <c r="A81" s="196">
        <v>249</v>
      </c>
      <c r="B81" s="189" t="s">
        <v>59</v>
      </c>
      <c r="C81" s="189" t="s">
        <v>342</v>
      </c>
      <c r="D81" s="503" t="s">
        <v>290</v>
      </c>
      <c r="E81" s="508">
        <v>135</v>
      </c>
      <c r="F81" s="504" t="s">
        <v>264</v>
      </c>
      <c r="G81" s="504" t="s">
        <v>249</v>
      </c>
      <c r="H81" s="504" t="s">
        <v>247</v>
      </c>
      <c r="I81" s="504" t="s">
        <v>241</v>
      </c>
      <c r="J81" s="504"/>
      <c r="K81" s="179" t="str">
        <f>IF(ISBLANK(E81),"ručně doplnit",IF(E81="-","není ve výkazech",IF(C81="Rozvaha",VLOOKUP(E81,radky_R!$A:$B,2,0),IF(C81="Výsledovka",VLOOKUP(E81,radky_V!A:M,2,0)))))</f>
        <v>Krátkodobé finanční výpomoci</v>
      </c>
      <c r="R81" s="179" t="str">
        <f>IF(ISBLANK(L81),"není alternativa",IF(L81="-","není ve výkazech",VLOOKUP(L81,radky_R!$A:$B,2,0)))</f>
        <v>není alternativa</v>
      </c>
      <c r="S81" s="189" t="s">
        <v>253</v>
      </c>
      <c r="T81" s="189" t="s">
        <v>634</v>
      </c>
    </row>
    <row r="82" spans="1:20" x14ac:dyDescent="0.2">
      <c r="A82" s="196">
        <v>251</v>
      </c>
      <c r="B82" s="189" t="s">
        <v>60</v>
      </c>
      <c r="C82" s="189" t="s">
        <v>342</v>
      </c>
      <c r="D82" s="503" t="s">
        <v>278</v>
      </c>
      <c r="E82" s="508">
        <v>70</v>
      </c>
      <c r="F82" s="504" t="s">
        <v>264</v>
      </c>
      <c r="G82" s="504" t="s">
        <v>254</v>
      </c>
      <c r="H82" s="504" t="s">
        <v>241</v>
      </c>
      <c r="I82" s="504"/>
      <c r="J82" s="504"/>
      <c r="K82" s="179" t="str">
        <f>IF(ISBLANK(E82),"ručně doplnit",IF(E82="-","není ve výkazech",IF(C82="Rozvaha",VLOOKUP(E82,radky_R!$A:$B,2,0),IF(C82="Výsledovka",VLOOKUP(E82,radky_V!A:M,2,0)))))</f>
        <v>Ostatní krátkodobý finanční majetek</v>
      </c>
      <c r="R82" s="179" t="str">
        <f>IF(ISBLANK(L82),"není alternativa",IF(L82="-","není ve výkazech",VLOOKUP(L82,radky_R!$A:$B,2,0)))</f>
        <v>není alternativa</v>
      </c>
      <c r="S82" s="189" t="s">
        <v>253</v>
      </c>
      <c r="T82" s="189" t="s">
        <v>634</v>
      </c>
    </row>
    <row r="83" spans="1:20" x14ac:dyDescent="0.2">
      <c r="A83" s="196">
        <v>252</v>
      </c>
      <c r="B83" s="189" t="s">
        <v>761</v>
      </c>
      <c r="C83" s="189" t="s">
        <v>342</v>
      </c>
      <c r="D83" s="503" t="s">
        <v>290</v>
      </c>
      <c r="E83" s="508">
        <v>82</v>
      </c>
      <c r="F83" s="504" t="s">
        <v>237</v>
      </c>
      <c r="G83" s="504" t="s">
        <v>239</v>
      </c>
      <c r="H83" s="504" t="s">
        <v>241</v>
      </c>
      <c r="I83" s="504"/>
      <c r="J83" s="504"/>
      <c r="K83" s="179" t="str">
        <f>IF(ISBLANK(E83),"ručně doplnit",IF(E83="-","není ve výkazech",IF(C83="Rozvaha",VLOOKUP(E83,radky_R!$A:$B,2,0),IF(C83="Výsledovka",VLOOKUP(E83,radky_V!A:M,2,0)))))</f>
        <v>Vlastní podíly (-)</v>
      </c>
      <c r="R83" s="179" t="str">
        <f>IF(ISBLANK(L83),"není alternativa",IF(L83="-","není ve výkazech",VLOOKUP(L83,radky_R!$A:$B,2,0)))</f>
        <v>není alternativa</v>
      </c>
      <c r="S83" s="189" t="s">
        <v>253</v>
      </c>
      <c r="T83" s="189" t="s">
        <v>634</v>
      </c>
    </row>
    <row r="84" spans="1:20" x14ac:dyDescent="0.2">
      <c r="A84" s="196">
        <v>253</v>
      </c>
      <c r="B84" s="189" t="s">
        <v>762</v>
      </c>
      <c r="C84" s="189" t="s">
        <v>342</v>
      </c>
      <c r="D84" s="503" t="s">
        <v>278</v>
      </c>
      <c r="E84" s="508">
        <v>70</v>
      </c>
      <c r="F84" s="504" t="s">
        <v>264</v>
      </c>
      <c r="G84" s="504" t="s">
        <v>254</v>
      </c>
      <c r="H84" s="504" t="s">
        <v>241</v>
      </c>
      <c r="I84" s="504"/>
      <c r="J84" s="504"/>
      <c r="K84" s="179" t="str">
        <f>IF(ISBLANK(E84),"ručně doplnit",IF(E84="-","není ve výkazech",IF(C84="Rozvaha",VLOOKUP(E84,radky_R!$A:$B,2,0),IF(C84="Výsledovka",VLOOKUP(E84,radky_V!A:M,2,0)))))</f>
        <v>Ostatní krátkodobý finanční majetek</v>
      </c>
      <c r="R84" s="179" t="str">
        <f>IF(ISBLANK(L84),"není alternativa",IF(L84="-","není ve výkazech",VLOOKUP(L84,radky_R!$A:$B,2,0)))</f>
        <v>není alternativa</v>
      </c>
      <c r="S84" s="189" t="s">
        <v>253</v>
      </c>
      <c r="T84" s="189" t="s">
        <v>634</v>
      </c>
    </row>
    <row r="85" spans="1:20" x14ac:dyDescent="0.2">
      <c r="A85" s="196">
        <v>254</v>
      </c>
      <c r="B85" s="189" t="s">
        <v>661</v>
      </c>
      <c r="C85" s="189" t="s">
        <v>342</v>
      </c>
      <c r="D85" s="503" t="s">
        <v>278</v>
      </c>
      <c r="E85" s="508">
        <v>69</v>
      </c>
      <c r="F85" s="504" t="s">
        <v>264</v>
      </c>
      <c r="G85" s="504" t="s">
        <v>254</v>
      </c>
      <c r="H85" s="504" t="s">
        <v>240</v>
      </c>
      <c r="I85" s="504"/>
      <c r="J85" s="504"/>
      <c r="K85" s="179" t="str">
        <f>IF(ISBLANK(E85),"ručně doplnit",IF(E85="-","není ve výkazech",IF(C85="Rozvaha",VLOOKUP(E85,radky_R!$A:$B,2,0),IF(C85="Výsledovka",VLOOKUP(E85,radky_V!A:M,2,0)))))</f>
        <v>Podíly - ovládaná nebo ovládající osoba</v>
      </c>
      <c r="R85" s="179" t="str">
        <f>IF(ISBLANK(L85),"není alternativa",IF(L85="-","není ve výkazech",VLOOKUP(L85,radky_R!$A:$B,2,0)))</f>
        <v>není alternativa</v>
      </c>
      <c r="S85" s="189" t="s">
        <v>253</v>
      </c>
      <c r="T85" s="189" t="s">
        <v>634</v>
      </c>
    </row>
    <row r="86" spans="1:20" x14ac:dyDescent="0.2">
      <c r="A86" s="196">
        <v>255</v>
      </c>
      <c r="B86" s="189" t="s">
        <v>61</v>
      </c>
      <c r="C86" s="189" t="s">
        <v>342</v>
      </c>
      <c r="D86" s="503" t="s">
        <v>290</v>
      </c>
      <c r="E86" s="507"/>
      <c r="F86" s="505"/>
      <c r="G86" s="505"/>
      <c r="H86" s="505"/>
      <c r="I86" s="505"/>
      <c r="J86" s="505"/>
      <c r="K86" s="179" t="str">
        <f>IF(ISBLANK(E86),"ručně doplnit",IF(E86="-","není ve výkazech",IF(C86="Rozvaha",VLOOKUP(E86,radky_R!$A:$B,2,0),IF(C86="Výsledovka",VLOOKUP(E86,radky_V!A:M,2,0)))))</f>
        <v>ručně doplnit</v>
      </c>
      <c r="R86" s="179" t="str">
        <f>IF(ISBLANK(L86),"není alternativa",IF(L86="-","není ve výkazech",VLOOKUP(L86,radky_R!$A:$B,2,0)))</f>
        <v>není alternativa</v>
      </c>
      <c r="S86" s="189" t="s">
        <v>253</v>
      </c>
      <c r="T86" s="189" t="s">
        <v>634</v>
      </c>
    </row>
    <row r="87" spans="1:20" x14ac:dyDescent="0.2">
      <c r="A87" s="196">
        <v>256</v>
      </c>
      <c r="B87" s="189" t="s">
        <v>62</v>
      </c>
      <c r="C87" s="189" t="s">
        <v>342</v>
      </c>
      <c r="D87" s="503" t="s">
        <v>278</v>
      </c>
      <c r="E87" s="508">
        <v>70</v>
      </c>
      <c r="F87" s="504" t="s">
        <v>264</v>
      </c>
      <c r="G87" s="504" t="s">
        <v>254</v>
      </c>
      <c r="H87" s="504" t="s">
        <v>241</v>
      </c>
      <c r="I87" s="504"/>
      <c r="J87" s="504"/>
      <c r="K87" s="179" t="str">
        <f>IF(ISBLANK(E87),"ručně doplnit",IF(E87="-","není ve výkazech",IF(C87="Rozvaha",VLOOKUP(E87,radky_R!$A:$B,2,0),IF(C87="Výsledovka",VLOOKUP(E87,radky_V!A:M,2,0)))))</f>
        <v>Ostatní krátkodobý finanční majetek</v>
      </c>
      <c r="R87" s="179" t="str">
        <f>IF(ISBLANK(L87),"není alternativa",IF(L87="-","není ve výkazech",VLOOKUP(L87,radky_R!$A:$B,2,0)))</f>
        <v>není alternativa</v>
      </c>
      <c r="S87" s="189" t="s">
        <v>253</v>
      </c>
      <c r="T87" s="189" t="s">
        <v>634</v>
      </c>
    </row>
    <row r="88" spans="1:20" x14ac:dyDescent="0.2">
      <c r="A88" s="196">
        <v>257</v>
      </c>
      <c r="B88" s="189" t="s">
        <v>763</v>
      </c>
      <c r="C88" s="189" t="s">
        <v>342</v>
      </c>
      <c r="D88" s="503" t="s">
        <v>278</v>
      </c>
      <c r="E88" s="508">
        <v>70</v>
      </c>
      <c r="F88" s="504" t="s">
        <v>264</v>
      </c>
      <c r="G88" s="504" t="s">
        <v>254</v>
      </c>
      <c r="H88" s="504" t="s">
        <v>241</v>
      </c>
      <c r="I88" s="504"/>
      <c r="J88" s="504"/>
      <c r="K88" s="179" t="str">
        <f>IF(ISBLANK(E88),"ručně doplnit",IF(E88="-","není ve výkazech",IF(C88="Rozvaha",VLOOKUP(E88,radky_R!$A:$B,2,0),IF(C88="Výsledovka",VLOOKUP(E88,radky_V!A:M,2,0)))))</f>
        <v>Ostatní krátkodobý finanční majetek</v>
      </c>
      <c r="R88" s="179" t="str">
        <f>IF(ISBLANK(L88),"není alternativa",IF(L88="-","není ve výkazech",VLOOKUP(L88,radky_R!$A:$B,2,0)))</f>
        <v>není alternativa</v>
      </c>
      <c r="S88" s="189" t="s">
        <v>253</v>
      </c>
      <c r="T88" s="189" t="s">
        <v>634</v>
      </c>
    </row>
    <row r="89" spans="1:20" x14ac:dyDescent="0.2">
      <c r="A89" s="196">
        <v>258</v>
      </c>
      <c r="B89" s="189" t="s">
        <v>63</v>
      </c>
      <c r="C89" s="189" t="s">
        <v>342</v>
      </c>
      <c r="D89" s="503" t="s">
        <v>278</v>
      </c>
      <c r="E89" s="196" t="s">
        <v>261</v>
      </c>
      <c r="K89" s="179" t="str">
        <f>IF(ISBLANK(E89),"ručně doplnit",IF(E89="-","není ve výkazech",IF(C89="Rozvaha",VLOOKUP(E89,radky_R!$A:$B,2,0),IF(C89="Výsledovka",VLOOKUP(E89,radky_V!A:M,2,0)))))</f>
        <v>není ve výkazech</v>
      </c>
      <c r="R89" s="179" t="str">
        <f>IF(ISBLANK(L89),"není alternativa",IF(L89="-","není ve výkazech",VLOOKUP(L89,radky_R!$A:$B,2,0)))</f>
        <v>není alternativa</v>
      </c>
      <c r="S89" s="189" t="s">
        <v>253</v>
      </c>
      <c r="T89" s="189" t="s">
        <v>634</v>
      </c>
    </row>
    <row r="90" spans="1:20" x14ac:dyDescent="0.2">
      <c r="A90" s="196">
        <v>259</v>
      </c>
      <c r="B90" s="189" t="s">
        <v>64</v>
      </c>
      <c r="C90" s="189" t="s">
        <v>342</v>
      </c>
      <c r="D90" s="503" t="s">
        <v>278</v>
      </c>
      <c r="E90" s="508">
        <v>70</v>
      </c>
      <c r="F90" s="504" t="s">
        <v>264</v>
      </c>
      <c r="G90" s="504" t="s">
        <v>254</v>
      </c>
      <c r="H90" s="504" t="s">
        <v>241</v>
      </c>
      <c r="I90" s="504"/>
      <c r="J90" s="504"/>
      <c r="K90" s="179" t="str">
        <f>IF(ISBLANK(E90),"ručně doplnit",IF(E90="-","není ve výkazech",IF(C90="Rozvaha",VLOOKUP(E90,radky_R!$A:$B,2,0),IF(C90="Výsledovka",VLOOKUP(E90,radky_V!A:M,2,0)))))</f>
        <v>Ostatní krátkodobý finanční majetek</v>
      </c>
      <c r="L90" s="193"/>
      <c r="M90" s="183"/>
      <c r="N90" s="183"/>
      <c r="O90" s="183"/>
      <c r="P90" s="183"/>
      <c r="Q90" s="183"/>
      <c r="R90" s="179" t="str">
        <f>IF(ISBLANK(L90),"není alternativa",IF(L90="-","není ve výkazech",VLOOKUP(L90,radky_R!$A:$B,2,0)))</f>
        <v>není alternativa</v>
      </c>
      <c r="S90" s="189" t="s">
        <v>253</v>
      </c>
      <c r="T90" s="189" t="s">
        <v>634</v>
      </c>
    </row>
    <row r="91" spans="1:20" x14ac:dyDescent="0.2">
      <c r="A91" s="196">
        <v>259</v>
      </c>
      <c r="B91" s="189" t="s">
        <v>64</v>
      </c>
      <c r="C91" s="189" t="s">
        <v>342</v>
      </c>
      <c r="D91" s="503" t="s">
        <v>278</v>
      </c>
      <c r="E91" s="508">
        <v>69</v>
      </c>
      <c r="F91" s="504" t="s">
        <v>264</v>
      </c>
      <c r="G91" s="504" t="s">
        <v>254</v>
      </c>
      <c r="H91" s="504" t="s">
        <v>240</v>
      </c>
      <c r="I91" s="504"/>
      <c r="J91" s="504"/>
      <c r="K91" s="179" t="str">
        <f>IF(ISBLANK(E91),"ručně doplnit",IF(E91="-","není ve výkazech",IF(C91="Rozvaha",VLOOKUP(E91,radky_R!$A:$B,2,0),IF(C91="Výsledovka",VLOOKUP(E91,radky_V!A:M,2,0)))))</f>
        <v>Podíly - ovládaná nebo ovládající osoba</v>
      </c>
      <c r="L91" s="193"/>
      <c r="M91" s="183"/>
      <c r="N91" s="183"/>
      <c r="O91" s="183"/>
      <c r="P91" s="183"/>
      <c r="Q91" s="183"/>
      <c r="R91" s="179" t="str">
        <f>IF(ISBLANK(L91),"není alternativa",IF(L91="-","není ve výkazech",VLOOKUP(L91,radky_R!$A:$B,2,0)))</f>
        <v>není alternativa</v>
      </c>
      <c r="S91" s="189" t="s">
        <v>253</v>
      </c>
      <c r="T91" s="189" t="s">
        <v>634</v>
      </c>
    </row>
    <row r="92" spans="1:20" x14ac:dyDescent="0.2">
      <c r="A92" s="196">
        <v>261</v>
      </c>
      <c r="B92" s="189" t="s">
        <v>65</v>
      </c>
      <c r="C92" s="189" t="s">
        <v>342</v>
      </c>
      <c r="D92" s="503" t="s">
        <v>278</v>
      </c>
      <c r="E92" s="508">
        <v>72</v>
      </c>
      <c r="F92" s="504" t="s">
        <v>264</v>
      </c>
      <c r="G92" s="504" t="s">
        <v>272</v>
      </c>
      <c r="H92" s="504" t="s">
        <v>240</v>
      </c>
      <c r="I92" s="504"/>
      <c r="J92" s="504"/>
      <c r="K92" s="179" t="str">
        <f>IF(ISBLANK(E92),"ručně doplnit",IF(E92="-","není ve výkazech",IF(C92="Rozvaha",VLOOKUP(E92,radky_R!$A:$B,2,0),IF(C92="Výsledovka",VLOOKUP(E92,radky_V!A:M,2,0)))))</f>
        <v>Peněžní prostředky v pokladně</v>
      </c>
      <c r="L92" s="193"/>
      <c r="M92" s="183"/>
      <c r="N92" s="183"/>
      <c r="O92" s="183"/>
      <c r="P92" s="183"/>
      <c r="Q92" s="183"/>
      <c r="R92" s="179" t="str">
        <f>IF(ISBLANK(L92),"není alternativa",IF(L92="-","není ve výkazech",VLOOKUP(L92,radky_R!$A:$B,2,0)))</f>
        <v>není alternativa</v>
      </c>
      <c r="S92" s="189" t="s">
        <v>253</v>
      </c>
      <c r="T92" s="189" t="s">
        <v>634</v>
      </c>
    </row>
    <row r="93" spans="1:20" x14ac:dyDescent="0.2">
      <c r="A93" s="196">
        <v>261</v>
      </c>
      <c r="B93" s="189" t="s">
        <v>65</v>
      </c>
      <c r="C93" s="189" t="s">
        <v>342</v>
      </c>
      <c r="D93" s="503" t="s">
        <v>278</v>
      </c>
      <c r="E93" s="508">
        <v>73</v>
      </c>
      <c r="F93" s="504" t="s">
        <v>264</v>
      </c>
      <c r="G93" s="504" t="s">
        <v>272</v>
      </c>
      <c r="H93" s="504" t="s">
        <v>241</v>
      </c>
      <c r="I93" s="504"/>
      <c r="J93" s="504"/>
      <c r="K93" s="179" t="str">
        <f>IF(ISBLANK(E93),"ručně doplnit",IF(E93="-","není ve výkazech",IF(C93="Rozvaha",VLOOKUP(E93,radky_R!$A:$B,2,0),IF(C93="Výsledovka",VLOOKUP(E93,radky_V!A:M,2,0)))))</f>
        <v>Peněžní prostředky na účtech</v>
      </c>
      <c r="L93" s="193"/>
      <c r="M93" s="183"/>
      <c r="N93" s="183"/>
      <c r="O93" s="183"/>
      <c r="P93" s="183"/>
      <c r="Q93" s="183"/>
      <c r="R93" s="179" t="str">
        <f>IF(ISBLANK(L93),"není alternativa",IF(L93="-","není ve výkazech",VLOOKUP(L93,radky_R!$A:$B,2,0)))</f>
        <v>není alternativa</v>
      </c>
      <c r="S93" s="189" t="s">
        <v>253</v>
      </c>
      <c r="T93" s="189" t="s">
        <v>634</v>
      </c>
    </row>
    <row r="94" spans="1:20" x14ac:dyDescent="0.2">
      <c r="A94" s="196">
        <v>291</v>
      </c>
      <c r="B94" s="189" t="s">
        <v>66</v>
      </c>
      <c r="C94" s="189" t="s">
        <v>342</v>
      </c>
      <c r="D94" s="503" t="s">
        <v>278</v>
      </c>
      <c r="E94" s="508">
        <v>70</v>
      </c>
      <c r="F94" s="504" t="s">
        <v>264</v>
      </c>
      <c r="G94" s="504" t="s">
        <v>254</v>
      </c>
      <c r="H94" s="504" t="s">
        <v>241</v>
      </c>
      <c r="I94" s="504"/>
      <c r="J94" s="504"/>
      <c r="K94" s="179" t="str">
        <f>IF(ISBLANK(E94),"ručně doplnit",IF(E94="-","není ve výkazech",IF(C94="Rozvaha",VLOOKUP(E94,radky_R!$A:$B,2,0),IF(C94="Výsledovka",VLOOKUP(E94,radky_V!A:M,2,0)))))</f>
        <v>Ostatní krátkodobý finanční majetek</v>
      </c>
      <c r="L94" s="193"/>
      <c r="M94" s="183"/>
      <c r="N94" s="183"/>
      <c r="O94" s="183"/>
      <c r="P94" s="183"/>
      <c r="Q94" s="183"/>
      <c r="R94" s="179" t="str">
        <f>IF(ISBLANK(L94),"není alternativa",IF(L94="-","není ve výkazech",VLOOKUP(L94,radky_R!$A:$B,2,0)))</f>
        <v>není alternativa</v>
      </c>
      <c r="S94" s="189" t="s">
        <v>255</v>
      </c>
      <c r="T94" s="189" t="s">
        <v>634</v>
      </c>
    </row>
    <row r="95" spans="1:20" x14ac:dyDescent="0.2">
      <c r="A95" s="196">
        <v>291</v>
      </c>
      <c r="B95" s="189" t="s">
        <v>66</v>
      </c>
      <c r="C95" s="189" t="s">
        <v>342</v>
      </c>
      <c r="D95" s="503" t="s">
        <v>278</v>
      </c>
      <c r="E95" s="508">
        <v>69</v>
      </c>
      <c r="F95" s="504" t="s">
        <v>264</v>
      </c>
      <c r="G95" s="504" t="s">
        <v>254</v>
      </c>
      <c r="H95" s="504" t="s">
        <v>240</v>
      </c>
      <c r="I95" s="504"/>
      <c r="J95" s="504"/>
      <c r="K95" s="179" t="str">
        <f>IF(ISBLANK(E95),"ručně doplnit",IF(E95="-","není ve výkazech",IF(C95="Rozvaha",VLOOKUP(E95,radky_R!$A:$B,2,0),IF(C95="Výsledovka",VLOOKUP(E95,radky_V!A:M,2,0)))))</f>
        <v>Podíly - ovládaná nebo ovládající osoba</v>
      </c>
      <c r="L95" s="193"/>
      <c r="M95" s="183"/>
      <c r="N95" s="183"/>
      <c r="O95" s="183"/>
      <c r="P95" s="183"/>
      <c r="Q95" s="183"/>
      <c r="R95" s="179" t="str">
        <f>IF(ISBLANK(L95),"není alternativa",IF(L95="-","není ve výkazech",VLOOKUP(L95,radky_R!$A:$B,2,0)))</f>
        <v>není alternativa</v>
      </c>
      <c r="S95" s="189" t="s">
        <v>255</v>
      </c>
      <c r="T95" s="189" t="s">
        <v>634</v>
      </c>
    </row>
    <row r="96" spans="1:20" x14ac:dyDescent="0.2">
      <c r="A96" s="196">
        <v>311</v>
      </c>
      <c r="B96" s="189" t="s">
        <v>68</v>
      </c>
      <c r="C96" s="189" t="s">
        <v>342</v>
      </c>
      <c r="D96" s="503" t="s">
        <v>278</v>
      </c>
      <c r="E96" s="508">
        <v>58</v>
      </c>
      <c r="F96" s="504" t="s">
        <v>264</v>
      </c>
      <c r="G96" s="504" t="s">
        <v>249</v>
      </c>
      <c r="H96" s="504" t="s">
        <v>241</v>
      </c>
      <c r="I96" s="504" t="s">
        <v>240</v>
      </c>
      <c r="J96" s="504"/>
      <c r="K96" s="179" t="str">
        <f>IF(ISBLANK(E96),"ručně doplnit",IF(E96="-","není ve výkazech",IF(C96="Rozvaha",VLOOKUP(E96,radky_R!$A:$B,2,0),IF(C96="Výsledovka",VLOOKUP(E96,radky_V!A:M,2,0)))))</f>
        <v>Pohledávky z obchodních vztahů</v>
      </c>
      <c r="L96" s="193"/>
      <c r="M96" s="183"/>
      <c r="N96" s="183"/>
      <c r="O96" s="183"/>
      <c r="P96" s="183"/>
      <c r="Q96" s="183"/>
      <c r="R96" s="179" t="str">
        <f>IF(ISBLANK(L96),"není alternativa",IF(L96="-","není ve výkazech",VLOOKUP(L96,radky_R!$A:$B,2,0)))</f>
        <v>není alternativa</v>
      </c>
      <c r="S96" s="189" t="s">
        <v>253</v>
      </c>
      <c r="T96" s="189" t="s">
        <v>636</v>
      </c>
    </row>
    <row r="97" spans="1:20" x14ac:dyDescent="0.2">
      <c r="A97" s="196">
        <v>311</v>
      </c>
      <c r="B97" s="189" t="s">
        <v>68</v>
      </c>
      <c r="C97" s="189" t="s">
        <v>342</v>
      </c>
      <c r="D97" s="503" t="s">
        <v>278</v>
      </c>
      <c r="E97" s="508">
        <v>48</v>
      </c>
      <c r="F97" s="504" t="s">
        <v>264</v>
      </c>
      <c r="G97" s="504" t="s">
        <v>249</v>
      </c>
      <c r="H97" s="504" t="s">
        <v>240</v>
      </c>
      <c r="I97" s="504" t="s">
        <v>240</v>
      </c>
      <c r="J97" s="504"/>
      <c r="K97" s="179" t="str">
        <f>IF(ISBLANK(E97),"ručně doplnit",IF(E97="-","není ve výkazech",IF(C97="Rozvaha",VLOOKUP(E97,radky_R!$A:$B,2,0),IF(C97="Výsledovka",VLOOKUP(E97,radky_V!A:M,2,0)))))</f>
        <v>Pohledávky z obchodních vztahů</v>
      </c>
      <c r="L97" s="193"/>
      <c r="M97" s="183"/>
      <c r="N97" s="183"/>
      <c r="O97" s="183"/>
      <c r="P97" s="183"/>
      <c r="Q97" s="183"/>
      <c r="R97" s="179" t="str">
        <f>IF(ISBLANK(L97),"není alternativa",IF(L97="-","není ve výkazech",VLOOKUP(L97,radky_R!$A:$B,2,0)))</f>
        <v>není alternativa</v>
      </c>
      <c r="S97" s="189" t="s">
        <v>253</v>
      </c>
      <c r="T97" s="189" t="s">
        <v>636</v>
      </c>
    </row>
    <row r="98" spans="1:20" x14ac:dyDescent="0.2">
      <c r="A98" s="196">
        <v>312</v>
      </c>
      <c r="B98" s="189" t="s">
        <v>69</v>
      </c>
      <c r="C98" s="189" t="s">
        <v>342</v>
      </c>
      <c r="D98" s="503" t="s">
        <v>278</v>
      </c>
      <c r="E98" s="196" t="s">
        <v>261</v>
      </c>
      <c r="K98" s="179" t="str">
        <f>IF(ISBLANK(E98),"ručně doplnit",IF(E98="-","není ve výkazech",IF(C98="Rozvaha",VLOOKUP(E98,radky_R!$A:$B,2,0),IF(C98="Výsledovka",VLOOKUP(E98,radky_V!A:M,2,0)))))</f>
        <v>není ve výkazech</v>
      </c>
      <c r="R98" s="179" t="str">
        <f>IF(ISBLANK(L98),"není alternativa",IF(L98="-","není ve výkazech",VLOOKUP(L98,radky_R!$A:$B,2,0)))</f>
        <v>není alternativa</v>
      </c>
      <c r="S98" s="189" t="s">
        <v>253</v>
      </c>
      <c r="T98" s="189" t="s">
        <v>636</v>
      </c>
    </row>
    <row r="99" spans="1:20" x14ac:dyDescent="0.2">
      <c r="A99" s="196">
        <v>313</v>
      </c>
      <c r="B99" s="189" t="s">
        <v>70</v>
      </c>
      <c r="C99" s="189" t="s">
        <v>342</v>
      </c>
      <c r="D99" s="503" t="s">
        <v>278</v>
      </c>
      <c r="E99" s="508">
        <v>58</v>
      </c>
      <c r="F99" s="504" t="s">
        <v>264</v>
      </c>
      <c r="G99" s="504" t="s">
        <v>249</v>
      </c>
      <c r="H99" s="504" t="s">
        <v>241</v>
      </c>
      <c r="I99" s="504" t="s">
        <v>240</v>
      </c>
      <c r="J99" s="504"/>
      <c r="K99" s="179" t="str">
        <f>IF(ISBLANK(E99),"ručně doplnit",IF(E99="-","není ve výkazech",IF(C99="Rozvaha",VLOOKUP(E99,radky_R!$A:$B,2,0),IF(C99="Výsledovka",VLOOKUP(E99,radky_V!A:M,2,0)))))</f>
        <v>Pohledávky z obchodních vztahů</v>
      </c>
      <c r="L99" s="193"/>
      <c r="M99" s="183"/>
      <c r="N99" s="183"/>
      <c r="O99" s="183"/>
      <c r="P99" s="183"/>
      <c r="Q99" s="183"/>
      <c r="R99" s="179" t="str">
        <f>IF(ISBLANK(L99),"není alternativa",IF(L99="-","není ve výkazech",VLOOKUP(L99,radky_R!$A:$B,2,0)))</f>
        <v>není alternativa</v>
      </c>
      <c r="S99" s="189" t="s">
        <v>253</v>
      </c>
      <c r="T99" s="189" t="s">
        <v>636</v>
      </c>
    </row>
    <row r="100" spans="1:20" x14ac:dyDescent="0.2">
      <c r="A100" s="196">
        <v>313</v>
      </c>
      <c r="B100" s="189" t="s">
        <v>70</v>
      </c>
      <c r="C100" s="189" t="s">
        <v>342</v>
      </c>
      <c r="D100" s="503" t="s">
        <v>278</v>
      </c>
      <c r="E100" s="508">
        <v>48</v>
      </c>
      <c r="F100" s="504" t="s">
        <v>264</v>
      </c>
      <c r="G100" s="504" t="s">
        <v>249</v>
      </c>
      <c r="H100" s="504" t="s">
        <v>240</v>
      </c>
      <c r="I100" s="504" t="s">
        <v>240</v>
      </c>
      <c r="J100" s="504"/>
      <c r="K100" s="179" t="str">
        <f>IF(ISBLANK(E100),"ručně doplnit",IF(E100="-","není ve výkazech",IF(C100="Rozvaha",VLOOKUP(E100,radky_R!$A:$B,2,0),IF(C100="Výsledovka",VLOOKUP(E100,radky_V!A:M,2,0)))))</f>
        <v>Pohledávky z obchodních vztahů</v>
      </c>
      <c r="L100" s="193"/>
      <c r="M100" s="183"/>
      <c r="N100" s="183"/>
      <c r="O100" s="183"/>
      <c r="P100" s="183"/>
      <c r="Q100" s="183"/>
      <c r="R100" s="179" t="str">
        <f>IF(ISBLANK(L100),"není alternativa",IF(L100="-","není ve výkazech",VLOOKUP(L100,radky_R!$A:$B,2,0)))</f>
        <v>není alternativa</v>
      </c>
      <c r="S100" s="189" t="s">
        <v>253</v>
      </c>
      <c r="T100" s="189" t="s">
        <v>636</v>
      </c>
    </row>
    <row r="101" spans="1:20" x14ac:dyDescent="0.2">
      <c r="A101" s="196">
        <v>314</v>
      </c>
      <c r="B101" s="189" t="s">
        <v>71</v>
      </c>
      <c r="C101" s="189" t="s">
        <v>342</v>
      </c>
      <c r="D101" s="503" t="s">
        <v>278</v>
      </c>
      <c r="E101" s="508">
        <v>65</v>
      </c>
      <c r="F101" s="504" t="s">
        <v>264</v>
      </c>
      <c r="G101" s="504" t="s">
        <v>249</v>
      </c>
      <c r="H101" s="504" t="s">
        <v>241</v>
      </c>
      <c r="I101" s="504" t="s">
        <v>243</v>
      </c>
      <c r="J101" s="504" t="s">
        <v>243</v>
      </c>
      <c r="K101" s="179" t="str">
        <f>IF(ISBLANK(E101),"ručně doplnit",IF(E101="-","není ve výkazech",IF(C101="Rozvaha",VLOOKUP(E101,radky_R!$A:$B,2,0),IF(C101="Výsledovka",VLOOKUP(E101,radky_V!A:M,2,0)))))</f>
        <v>Krátkodobé poskytnuté zálohy</v>
      </c>
      <c r="L101" s="193"/>
      <c r="M101" s="183"/>
      <c r="N101" s="183"/>
      <c r="O101" s="183"/>
      <c r="P101" s="183"/>
      <c r="Q101" s="183"/>
      <c r="R101" s="179" t="str">
        <f>IF(ISBLANK(L101),"není alternativa",IF(L101="-","není ve výkazech",VLOOKUP(L101,radky_R!$A:$B,2,0)))</f>
        <v>není alternativa</v>
      </c>
      <c r="S101" s="189" t="s">
        <v>253</v>
      </c>
      <c r="T101" s="189" t="s">
        <v>637</v>
      </c>
    </row>
    <row r="102" spans="1:20" x14ac:dyDescent="0.2">
      <c r="A102" s="196">
        <v>314</v>
      </c>
      <c r="B102" s="189" t="s">
        <v>71</v>
      </c>
      <c r="C102" s="189" t="s">
        <v>342</v>
      </c>
      <c r="D102" s="503" t="s">
        <v>278</v>
      </c>
      <c r="E102" s="508">
        <v>54</v>
      </c>
      <c r="F102" s="504" t="s">
        <v>264</v>
      </c>
      <c r="G102" s="504" t="s">
        <v>249</v>
      </c>
      <c r="H102" s="504" t="s">
        <v>240</v>
      </c>
      <c r="I102" s="504" t="s">
        <v>244</v>
      </c>
      <c r="J102" s="504" t="s">
        <v>241</v>
      </c>
      <c r="K102" s="179" t="str">
        <f>IF(ISBLANK(E102),"ručně doplnit",IF(E102="-","není ve výkazech",IF(C102="Rozvaha",VLOOKUP(E102,radky_R!$A:$B,2,0),IF(C102="Výsledovka",VLOOKUP(E102,radky_V!A:M,2,0)))))</f>
        <v>Dlouhodobé poskytnuté zálohy</v>
      </c>
      <c r="L102" s="193"/>
      <c r="M102" s="183"/>
      <c r="N102" s="183"/>
      <c r="O102" s="183"/>
      <c r="P102" s="183"/>
      <c r="Q102" s="183"/>
      <c r="R102" s="179" t="str">
        <f>IF(ISBLANK(L102),"není alternativa",IF(L102="-","není ve výkazech",VLOOKUP(L102,radky_R!$A:$B,2,0)))</f>
        <v>není alternativa</v>
      </c>
      <c r="S102" s="189" t="s">
        <v>253</v>
      </c>
      <c r="T102" s="189" t="s">
        <v>637</v>
      </c>
    </row>
    <row r="103" spans="1:20" x14ac:dyDescent="0.2">
      <c r="A103" s="196">
        <v>315</v>
      </c>
      <c r="B103" s="189" t="s">
        <v>72</v>
      </c>
      <c r="C103" s="189" t="s">
        <v>342</v>
      </c>
      <c r="D103" s="503" t="s">
        <v>278</v>
      </c>
      <c r="E103" s="508">
        <v>58</v>
      </c>
      <c r="F103" s="504" t="s">
        <v>264</v>
      </c>
      <c r="G103" s="504" t="s">
        <v>249</v>
      </c>
      <c r="H103" s="504" t="s">
        <v>241</v>
      </c>
      <c r="I103" s="504" t="s">
        <v>240</v>
      </c>
      <c r="J103" s="504"/>
      <c r="K103" s="179" t="str">
        <f>IF(ISBLANK(E103),"ručně doplnit",IF(E103="-","není ve výkazech",IF(C103="Rozvaha",VLOOKUP(E103,radky_R!$A:$B,2,0),IF(C103="Výsledovka",VLOOKUP(E103,radky_V!A:M,2,0)))))</f>
        <v>Pohledávky z obchodních vztahů</v>
      </c>
      <c r="R103" s="179" t="str">
        <f>IF(ISBLANK(L103),"není alternativa",IF(L103="-","není ve výkazech",VLOOKUP(L103,radky_R!$A:$B,2,0)))</f>
        <v>není alternativa</v>
      </c>
      <c r="S103" s="189" t="s">
        <v>253</v>
      </c>
      <c r="T103" s="189" t="s">
        <v>636</v>
      </c>
    </row>
    <row r="104" spans="1:20" x14ac:dyDescent="0.2">
      <c r="A104" s="196">
        <v>315</v>
      </c>
      <c r="B104" s="189" t="s">
        <v>72</v>
      </c>
      <c r="C104" s="189" t="s">
        <v>342</v>
      </c>
      <c r="D104" s="503" t="s">
        <v>278</v>
      </c>
      <c r="E104" s="508">
        <v>48</v>
      </c>
      <c r="F104" s="504" t="s">
        <v>264</v>
      </c>
      <c r="G104" s="504" t="s">
        <v>249</v>
      </c>
      <c r="H104" s="504" t="s">
        <v>240</v>
      </c>
      <c r="I104" s="504" t="s">
        <v>240</v>
      </c>
      <c r="J104" s="504"/>
      <c r="K104" s="179" t="str">
        <f>IF(ISBLANK(E104),"ručně doplnit",IF(E104="-","není ve výkazech",IF(C104="Rozvaha",VLOOKUP(E104,radky_R!$A:$B,2,0),IF(C104="Výsledovka",VLOOKUP(E104,radky_V!A:M,2,0)))))</f>
        <v>Pohledávky z obchodních vztahů</v>
      </c>
      <c r="R104" s="179" t="str">
        <f>IF(ISBLANK(L104),"není alternativa",IF(L104="-","není ve výkazech",VLOOKUP(L104,radky_R!$A:$B,2,0)))</f>
        <v>není alternativa</v>
      </c>
      <c r="S104" s="189" t="s">
        <v>253</v>
      </c>
      <c r="T104" s="189" t="s">
        <v>636</v>
      </c>
    </row>
    <row r="105" spans="1:20" x14ac:dyDescent="0.2">
      <c r="A105" s="196">
        <v>321</v>
      </c>
      <c r="B105" s="189" t="s">
        <v>776</v>
      </c>
      <c r="C105" s="189" t="s">
        <v>342</v>
      </c>
      <c r="D105" s="503" t="s">
        <v>290</v>
      </c>
      <c r="E105" s="508">
        <v>129</v>
      </c>
      <c r="F105" s="504" t="s">
        <v>264</v>
      </c>
      <c r="G105" s="504" t="s">
        <v>249</v>
      </c>
      <c r="H105" s="504" t="s">
        <v>243</v>
      </c>
      <c r="I105" s="504"/>
      <c r="J105" s="504"/>
      <c r="K105" s="179" t="str">
        <f>IF(ISBLANK(E105),"ručně doplnit",IF(E105="-","není ve výkazech",IF(C105="Rozvaha",VLOOKUP(E105,radky_R!$A:$B,2,0),IF(C105="Výsledovka",VLOOKUP(E105,radky_V!A:M,2,0)))))</f>
        <v>Závazky z obchodních vztahů</v>
      </c>
      <c r="R105" s="179" t="str">
        <f>IF(ISBLANK(L105),"není alternativa",IF(L105="-","není ve výkazech",VLOOKUP(L105,radky_R!$A:$B,2,0)))</f>
        <v>není alternativa</v>
      </c>
      <c r="S105" s="189" t="s">
        <v>253</v>
      </c>
      <c r="T105" s="189" t="s">
        <v>637</v>
      </c>
    </row>
    <row r="106" spans="1:20" x14ac:dyDescent="0.2">
      <c r="A106" s="196">
        <v>322</v>
      </c>
      <c r="B106" s="189" t="s">
        <v>74</v>
      </c>
      <c r="C106" s="189" t="s">
        <v>342</v>
      </c>
      <c r="D106" s="503" t="s">
        <v>290</v>
      </c>
      <c r="E106" s="508">
        <v>130</v>
      </c>
      <c r="F106" s="504" t="s">
        <v>264</v>
      </c>
      <c r="G106" s="504" t="s">
        <v>249</v>
      </c>
      <c r="H106" s="504" t="s">
        <v>244</v>
      </c>
      <c r="I106" s="504"/>
      <c r="J106" s="504"/>
      <c r="K106" s="179" t="str">
        <f>IF(ISBLANK(E106),"ručně doplnit",IF(E106="-","není ve výkazech",IF(C106="Rozvaha",VLOOKUP(E106,radky_R!$A:$B,2,0),IF(C106="Výsledovka",VLOOKUP(E106,radky_V!A:M,2,0)))))</f>
        <v>Krátkodobé směnky k úhradě</v>
      </c>
      <c r="R106" s="179" t="str">
        <f>IF(ISBLANK(L106),"není alternativa",IF(L106="-","není ve výkazech",VLOOKUP(L106,radky_R!$A:$B,2,0)))</f>
        <v>není alternativa</v>
      </c>
      <c r="S106" s="189" t="s">
        <v>253</v>
      </c>
      <c r="T106" s="189" t="s">
        <v>637</v>
      </c>
    </row>
    <row r="107" spans="1:20" x14ac:dyDescent="0.2">
      <c r="A107" s="196">
        <v>324</v>
      </c>
      <c r="B107" s="189" t="s">
        <v>75</v>
      </c>
      <c r="C107" s="189" t="s">
        <v>342</v>
      </c>
      <c r="D107" s="503" t="s">
        <v>290</v>
      </c>
      <c r="E107" s="508">
        <v>128</v>
      </c>
      <c r="F107" s="504" t="s">
        <v>264</v>
      </c>
      <c r="G107" s="504" t="s">
        <v>249</v>
      </c>
      <c r="H107" s="504" t="s">
        <v>242</v>
      </c>
      <c r="I107" s="504"/>
      <c r="J107" s="504"/>
      <c r="K107" s="179" t="str">
        <f>IF(ISBLANK(E107),"ručně doplnit",IF(E107="-","není ve výkazech",IF(C107="Rozvaha",VLOOKUP(E107,radky_R!$A:$B,2,0),IF(C107="Výsledovka",VLOOKUP(E107,radky_V!A:M,2,0)))))</f>
        <v>Krátkodobé přijaté zálohy</v>
      </c>
      <c r="R107" s="179" t="str">
        <f>IF(ISBLANK(L107),"není alternativa",IF(L107="-","není ve výkazech",VLOOKUP(L107,radky_R!$A:$B,2,0)))</f>
        <v>není alternativa</v>
      </c>
      <c r="S107" s="189" t="s">
        <v>253</v>
      </c>
      <c r="T107" s="189" t="s">
        <v>636</v>
      </c>
    </row>
    <row r="108" spans="1:20" x14ac:dyDescent="0.2">
      <c r="A108" s="196">
        <v>325</v>
      </c>
      <c r="B108" s="189" t="s">
        <v>777</v>
      </c>
      <c r="C108" s="189" t="s">
        <v>342</v>
      </c>
      <c r="D108" s="503" t="s">
        <v>290</v>
      </c>
      <c r="E108" s="508">
        <v>129</v>
      </c>
      <c r="F108" s="504" t="s">
        <v>264</v>
      </c>
      <c r="G108" s="504" t="s">
        <v>249</v>
      </c>
      <c r="H108" s="504" t="s">
        <v>243</v>
      </c>
      <c r="I108" s="504"/>
      <c r="J108" s="504"/>
      <c r="K108" s="179" t="str">
        <f>IF(ISBLANK(E108),"ručně doplnit",IF(E108="-","není ve výkazech",IF(C108="Rozvaha",VLOOKUP(E108,radky_R!$A:$B,2,0),IF(C108="Výsledovka",VLOOKUP(E108,radky_V!A:M,2,0)))))</f>
        <v>Závazky z obchodních vztahů</v>
      </c>
      <c r="R108" s="179" t="str">
        <f>IF(ISBLANK(L108),"není alternativa",IF(L108="-","není ve výkazech",VLOOKUP(L108,radky_R!$A:$B,2,0)))</f>
        <v>není alternativa</v>
      </c>
      <c r="S108" s="189" t="s">
        <v>253</v>
      </c>
      <c r="T108" s="189" t="s">
        <v>637</v>
      </c>
    </row>
    <row r="109" spans="1:20" x14ac:dyDescent="0.2">
      <c r="A109" s="196">
        <v>331</v>
      </c>
      <c r="B109" s="189" t="s">
        <v>76</v>
      </c>
      <c r="C109" s="189" t="s">
        <v>342</v>
      </c>
      <c r="D109" s="503" t="s">
        <v>290</v>
      </c>
      <c r="E109" s="508">
        <v>136</v>
      </c>
      <c r="F109" s="504" t="s">
        <v>264</v>
      </c>
      <c r="G109" s="504" t="s">
        <v>249</v>
      </c>
      <c r="H109" s="504" t="s">
        <v>247</v>
      </c>
      <c r="I109" s="504" t="s">
        <v>242</v>
      </c>
      <c r="J109" s="504"/>
      <c r="K109" s="179" t="str">
        <f>IF(ISBLANK(E109),"ručně doplnit",IF(E109="-","není ve výkazech",IF(C109="Rozvaha",VLOOKUP(E109,radky_R!$A:$B,2,0),IF(C109="Výsledovka",VLOOKUP(E109,radky_V!A:M,2,0)))))</f>
        <v>Závazky k zaměstnancům</v>
      </c>
      <c r="R109" s="179" t="str">
        <f>IF(ISBLANK(L109),"není alternativa",IF(L109="-","není ve výkazech",VLOOKUP(L109,radky_R!$A:$B,2,0)))</f>
        <v>není alternativa</v>
      </c>
      <c r="S109" s="189" t="s">
        <v>253</v>
      </c>
      <c r="T109" s="189" t="s">
        <v>638</v>
      </c>
    </row>
    <row r="110" spans="1:20" x14ac:dyDescent="0.2">
      <c r="A110" s="196">
        <v>333</v>
      </c>
      <c r="B110" s="189" t="s">
        <v>77</v>
      </c>
      <c r="C110" s="189" t="s">
        <v>342</v>
      </c>
      <c r="D110" s="503" t="s">
        <v>290</v>
      </c>
      <c r="E110" s="508">
        <v>136</v>
      </c>
      <c r="F110" s="504" t="s">
        <v>264</v>
      </c>
      <c r="G110" s="504" t="s">
        <v>249</v>
      </c>
      <c r="H110" s="504" t="s">
        <v>247</v>
      </c>
      <c r="I110" s="504" t="s">
        <v>242</v>
      </c>
      <c r="J110" s="504"/>
      <c r="K110" s="179" t="str">
        <f>IF(ISBLANK(E110),"ručně doplnit",IF(E110="-","není ve výkazech",IF(C110="Rozvaha",VLOOKUP(E110,radky_R!$A:$B,2,0),IF(C110="Výsledovka",VLOOKUP(E110,radky_V!A:M,2,0)))))</f>
        <v>Závazky k zaměstnancům</v>
      </c>
      <c r="R110" s="179" t="str">
        <f>IF(ISBLANK(L110),"není alternativa",IF(L110="-","není ve výkazech",VLOOKUP(L110,radky_R!$A:$B,2,0)))</f>
        <v>není alternativa</v>
      </c>
      <c r="S110" s="189" t="s">
        <v>253</v>
      </c>
      <c r="T110" s="189" t="s">
        <v>638</v>
      </c>
    </row>
    <row r="111" spans="1:20" x14ac:dyDescent="0.2">
      <c r="A111" s="196">
        <v>335</v>
      </c>
      <c r="B111" s="189" t="s">
        <v>78</v>
      </c>
      <c r="C111" s="189" t="s">
        <v>342</v>
      </c>
      <c r="D111" s="503" t="s">
        <v>278</v>
      </c>
      <c r="E111" s="508">
        <v>67</v>
      </c>
      <c r="F111" s="504" t="s">
        <v>264</v>
      </c>
      <c r="G111" s="504" t="s">
        <v>249</v>
      </c>
      <c r="H111" s="504" t="s">
        <v>241</v>
      </c>
      <c r="I111" s="504" t="s">
        <v>243</v>
      </c>
      <c r="J111" s="504" t="s">
        <v>245</v>
      </c>
      <c r="K111" s="179" t="str">
        <f>IF(ISBLANK(E111),"ručně doplnit",IF(E111="-","není ve výkazech",IF(C111="Rozvaha",VLOOKUP(E111,radky_R!$A:$B,2,0),IF(C111="Výsledovka",VLOOKUP(E111,radky_V!A:M,2,0)))))</f>
        <v>Jiné pohledávky</v>
      </c>
      <c r="R111" s="179" t="str">
        <f>IF(ISBLANK(L111),"není alternativa",IF(L111="-","není ve výkazech",VLOOKUP(L111,radky_R!$A:$B,2,0)))</f>
        <v>není alternativa</v>
      </c>
      <c r="S111" s="189" t="s">
        <v>253</v>
      </c>
      <c r="T111" s="189" t="s">
        <v>638</v>
      </c>
    </row>
    <row r="112" spans="1:20" x14ac:dyDescent="0.2">
      <c r="A112" s="196">
        <v>335</v>
      </c>
      <c r="B112" s="189" t="s">
        <v>78</v>
      </c>
      <c r="C112" s="189" t="s">
        <v>342</v>
      </c>
      <c r="D112" s="503" t="s">
        <v>278</v>
      </c>
      <c r="E112" s="508">
        <v>56</v>
      </c>
      <c r="F112" s="504" t="s">
        <v>264</v>
      </c>
      <c r="G112" s="504" t="s">
        <v>249</v>
      </c>
      <c r="H112" s="504" t="s">
        <v>240</v>
      </c>
      <c r="I112" s="504" t="s">
        <v>244</v>
      </c>
      <c r="J112" s="504" t="s">
        <v>243</v>
      </c>
      <c r="K112" s="179" t="str">
        <f>IF(ISBLANK(E112),"ručně doplnit",IF(E112="-","není ve výkazech",IF(C112="Rozvaha",VLOOKUP(E112,radky_R!$A:$B,2,0),IF(C112="Výsledovka",VLOOKUP(E112,radky_V!A:M,2,0)))))</f>
        <v>Jiné pohledávky</v>
      </c>
      <c r="R112" s="179" t="str">
        <f>IF(ISBLANK(L112),"není alternativa",IF(L112="-","není ve výkazech",VLOOKUP(L112,radky_R!$A:$B,2,0)))</f>
        <v>není alternativa</v>
      </c>
      <c r="S112" s="189" t="s">
        <v>253</v>
      </c>
      <c r="T112" s="189" t="s">
        <v>638</v>
      </c>
    </row>
    <row r="113" spans="1:22" x14ac:dyDescent="0.2">
      <c r="A113" s="196">
        <v>336</v>
      </c>
      <c r="B113" s="189" t="s">
        <v>79</v>
      </c>
      <c r="C113" s="189" t="s">
        <v>342</v>
      </c>
      <c r="D113" s="503" t="s">
        <v>317</v>
      </c>
      <c r="E113" s="508">
        <v>63</v>
      </c>
      <c r="F113" s="504" t="s">
        <v>264</v>
      </c>
      <c r="G113" s="504" t="s">
        <v>249</v>
      </c>
      <c r="H113" s="504" t="s">
        <v>241</v>
      </c>
      <c r="I113" s="504" t="s">
        <v>243</v>
      </c>
      <c r="J113" s="504" t="s">
        <v>241</v>
      </c>
      <c r="K113" s="179" t="str">
        <f>IF(ISBLANK(E113),"ručně doplnit",IF(E113="-","není ve výkazech",IF(C113="Rozvaha",VLOOKUP(E113,radky_R!$A:$B,2,0),IF(C113="Výsledovka",VLOOKUP(E113,radky_V!A:M,2,0)))))</f>
        <v>Sociální zabezpečení a zdravotní pojištění</v>
      </c>
      <c r="L113" s="508">
        <v>137</v>
      </c>
      <c r="M113" s="504" t="s">
        <v>264</v>
      </c>
      <c r="N113" s="504" t="s">
        <v>249</v>
      </c>
      <c r="O113" s="504" t="s">
        <v>247</v>
      </c>
      <c r="P113" s="504" t="s">
        <v>243</v>
      </c>
      <c r="Q113" s="504"/>
      <c r="R113" s="179" t="str">
        <f>IF(ISBLANK(L113),"není alternativa",IF(L113="-","není ve výkazech",VLOOKUP(L113,radky_R!$A:$B,2,0)))</f>
        <v>Závazky ze sociálního zabezpečení a zdravotního pojištění</v>
      </c>
      <c r="S113" s="189" t="s">
        <v>253</v>
      </c>
      <c r="T113" s="189" t="s">
        <v>638</v>
      </c>
    </row>
    <row r="114" spans="1:22" x14ac:dyDescent="0.2">
      <c r="A114" s="196">
        <v>341</v>
      </c>
      <c r="B114" s="189" t="s">
        <v>80</v>
      </c>
      <c r="C114" s="189" t="s">
        <v>342</v>
      </c>
      <c r="D114" s="503" t="s">
        <v>317</v>
      </c>
      <c r="E114" s="508">
        <v>64</v>
      </c>
      <c r="F114" s="504" t="s">
        <v>264</v>
      </c>
      <c r="G114" s="504" t="s">
        <v>249</v>
      </c>
      <c r="H114" s="504" t="s">
        <v>241</v>
      </c>
      <c r="I114" s="504" t="s">
        <v>243</v>
      </c>
      <c r="J114" s="504" t="s">
        <v>242</v>
      </c>
      <c r="K114" s="179" t="str">
        <f>IF(ISBLANK(E114),"ručně doplnit",IF(E114="-","není ve výkazech",IF(C114="Rozvaha",VLOOKUP(E114,radky_R!$A:$B,2,0),IF(C114="Výsledovka",VLOOKUP(E114,radky_V!A:M,2,0)))))</f>
        <v>Stát - daňové pohledávky</v>
      </c>
      <c r="L114" s="508">
        <v>138</v>
      </c>
      <c r="M114" s="504" t="s">
        <v>264</v>
      </c>
      <c r="N114" s="504" t="s">
        <v>249</v>
      </c>
      <c r="O114" s="504" t="s">
        <v>247</v>
      </c>
      <c r="P114" s="504" t="s">
        <v>244</v>
      </c>
      <c r="Q114" s="504"/>
      <c r="R114" s="179" t="str">
        <f>IF(ISBLANK(L114),"není alternativa",IF(L114="-","není ve výkazech",VLOOKUP(L114,radky_R!$A:$B,2,0)))</f>
        <v>Stát - daňové závazky a dotace</v>
      </c>
      <c r="S114" s="189" t="s">
        <v>253</v>
      </c>
      <c r="T114" s="189" t="s">
        <v>639</v>
      </c>
    </row>
    <row r="115" spans="1:22" x14ac:dyDescent="0.2">
      <c r="A115" s="196">
        <v>342</v>
      </c>
      <c r="B115" s="189" t="s">
        <v>81</v>
      </c>
      <c r="C115" s="189" t="s">
        <v>342</v>
      </c>
      <c r="D115" s="503" t="s">
        <v>317</v>
      </c>
      <c r="E115" s="508">
        <v>64</v>
      </c>
      <c r="F115" s="504" t="s">
        <v>264</v>
      </c>
      <c r="G115" s="504" t="s">
        <v>249</v>
      </c>
      <c r="H115" s="504" t="s">
        <v>241</v>
      </c>
      <c r="I115" s="504" t="s">
        <v>243</v>
      </c>
      <c r="J115" s="504" t="s">
        <v>242</v>
      </c>
      <c r="K115" s="179" t="str">
        <f>IF(ISBLANK(E115),"ručně doplnit",IF(E115="-","není ve výkazech",IF(C115="Rozvaha",VLOOKUP(E115,radky_R!$A:$B,2,0),IF(C115="Výsledovka",VLOOKUP(E115,radky_V!A:M,2,0)))))</f>
        <v>Stát - daňové pohledávky</v>
      </c>
      <c r="L115" s="508">
        <v>138</v>
      </c>
      <c r="M115" s="504" t="s">
        <v>264</v>
      </c>
      <c r="N115" s="504" t="s">
        <v>249</v>
      </c>
      <c r="O115" s="504" t="s">
        <v>247</v>
      </c>
      <c r="P115" s="504" t="s">
        <v>244</v>
      </c>
      <c r="Q115" s="504"/>
      <c r="R115" s="179" t="str">
        <f>IF(ISBLANK(L115),"není alternativa",IF(L115="-","není ve výkazech",VLOOKUP(L115,radky_R!$A:$B,2,0)))</f>
        <v>Stát - daňové závazky a dotace</v>
      </c>
      <c r="S115" s="189" t="s">
        <v>253</v>
      </c>
      <c r="T115" s="189" t="s">
        <v>639</v>
      </c>
    </row>
    <row r="116" spans="1:22" x14ac:dyDescent="0.2">
      <c r="A116" s="196">
        <v>343</v>
      </c>
      <c r="B116" s="189" t="s">
        <v>82</v>
      </c>
      <c r="C116" s="189" t="s">
        <v>342</v>
      </c>
      <c r="D116" s="503" t="s">
        <v>317</v>
      </c>
      <c r="E116" s="508">
        <v>64</v>
      </c>
      <c r="F116" s="504" t="s">
        <v>264</v>
      </c>
      <c r="G116" s="504" t="s">
        <v>249</v>
      </c>
      <c r="H116" s="504" t="s">
        <v>241</v>
      </c>
      <c r="I116" s="504" t="s">
        <v>243</v>
      </c>
      <c r="J116" s="504" t="s">
        <v>242</v>
      </c>
      <c r="K116" s="179" t="str">
        <f>IF(ISBLANK(E116),"ručně doplnit",IF(E116="-","není ve výkazech",IF(C116="Rozvaha",VLOOKUP(E116,radky_R!$A:$B,2,0),IF(C116="Výsledovka",VLOOKUP(E116,radky_V!A:M,2,0)))))</f>
        <v>Stát - daňové pohledávky</v>
      </c>
      <c r="L116" s="508">
        <v>138</v>
      </c>
      <c r="M116" s="504" t="s">
        <v>264</v>
      </c>
      <c r="N116" s="504" t="s">
        <v>249</v>
      </c>
      <c r="O116" s="504" t="s">
        <v>247</v>
      </c>
      <c r="P116" s="504" t="s">
        <v>244</v>
      </c>
      <c r="Q116" s="504"/>
      <c r="R116" s="179" t="str">
        <f>IF(ISBLANK(L116),"není alternativa",IF(L116="-","není ve výkazech",VLOOKUP(L116,radky_R!$A:$B,2,0)))</f>
        <v>Stát - daňové závazky a dotace</v>
      </c>
      <c r="S116" s="189" t="s">
        <v>253</v>
      </c>
      <c r="T116" s="189" t="s">
        <v>639</v>
      </c>
    </row>
    <row r="117" spans="1:22" x14ac:dyDescent="0.2">
      <c r="A117" s="196">
        <v>345</v>
      </c>
      <c r="B117" s="189" t="s">
        <v>83</v>
      </c>
      <c r="C117" s="189" t="s">
        <v>342</v>
      </c>
      <c r="D117" s="503" t="s">
        <v>317</v>
      </c>
      <c r="E117" s="508">
        <v>64</v>
      </c>
      <c r="F117" s="504" t="s">
        <v>264</v>
      </c>
      <c r="G117" s="504" t="s">
        <v>249</v>
      </c>
      <c r="H117" s="504" t="s">
        <v>241</v>
      </c>
      <c r="I117" s="504" t="s">
        <v>243</v>
      </c>
      <c r="J117" s="504" t="s">
        <v>242</v>
      </c>
      <c r="K117" s="179" t="str">
        <f>IF(ISBLANK(E117),"ručně doplnit",IF(E117="-","není ve výkazech",IF(C117="Rozvaha",VLOOKUP(E117,radky_R!$A:$B,2,0),IF(C117="Výsledovka",VLOOKUP(E117,radky_V!A:M,2,0)))))</f>
        <v>Stát - daňové pohledávky</v>
      </c>
      <c r="L117" s="508">
        <v>138</v>
      </c>
      <c r="M117" s="504" t="s">
        <v>264</v>
      </c>
      <c r="N117" s="504" t="s">
        <v>249</v>
      </c>
      <c r="O117" s="504" t="s">
        <v>247</v>
      </c>
      <c r="P117" s="504" t="s">
        <v>244</v>
      </c>
      <c r="Q117" s="504"/>
      <c r="R117" s="179" t="str">
        <f>IF(ISBLANK(L117),"není alternativa",IF(L117="-","není ve výkazech",VLOOKUP(L117,radky_R!$A:$B,2,0)))</f>
        <v>Stát - daňové závazky a dotace</v>
      </c>
      <c r="S117" s="189" t="s">
        <v>253</v>
      </c>
      <c r="T117" s="189" t="s">
        <v>639</v>
      </c>
    </row>
    <row r="118" spans="1:22" x14ac:dyDescent="0.2">
      <c r="A118" s="196">
        <v>346</v>
      </c>
      <c r="B118" s="189" t="s">
        <v>84</v>
      </c>
      <c r="C118" s="189" t="s">
        <v>342</v>
      </c>
      <c r="D118" s="503" t="s">
        <v>290</v>
      </c>
      <c r="E118" s="508">
        <v>138</v>
      </c>
      <c r="F118" s="504" t="s">
        <v>264</v>
      </c>
      <c r="G118" s="504" t="s">
        <v>249</v>
      </c>
      <c r="H118" s="504" t="s">
        <v>247</v>
      </c>
      <c r="I118" s="504" t="s">
        <v>244</v>
      </c>
      <c r="J118" s="504"/>
      <c r="K118" s="179" t="str">
        <f>IF(ISBLANK(E118),"ručně doplnit",IF(E118="-","není ve výkazech",IF(C118="Rozvaha",VLOOKUP(E118,radky_R!$A:$B,2,0),IF(C118="Výsledovka",VLOOKUP(E118,radky_V!A:M,2,0)))))</f>
        <v>Stát - daňové závazky a dotace</v>
      </c>
      <c r="R118" s="179" t="str">
        <f>IF(ISBLANK(L118),"není alternativa",IF(L118="-","není ve výkazech",VLOOKUP(L118,radky_R!$A:$B,2,0)))</f>
        <v>není alternativa</v>
      </c>
      <c r="S118" s="189" t="s">
        <v>253</v>
      </c>
      <c r="T118" s="189" t="s">
        <v>639</v>
      </c>
    </row>
    <row r="119" spans="1:22" x14ac:dyDescent="0.2">
      <c r="A119" s="196">
        <v>347</v>
      </c>
      <c r="B119" s="189" t="s">
        <v>85</v>
      </c>
      <c r="C119" s="189" t="s">
        <v>342</v>
      </c>
      <c r="D119" s="503" t="s">
        <v>290</v>
      </c>
      <c r="E119" s="508">
        <v>138</v>
      </c>
      <c r="F119" s="504" t="s">
        <v>264</v>
      </c>
      <c r="G119" s="504" t="s">
        <v>249</v>
      </c>
      <c r="H119" s="504" t="s">
        <v>247</v>
      </c>
      <c r="I119" s="504" t="s">
        <v>244</v>
      </c>
      <c r="J119" s="504"/>
      <c r="K119" s="179" t="str">
        <f>IF(ISBLANK(E119),"ručně doplnit",IF(E119="-","není ve výkazech",IF(C119="Rozvaha",VLOOKUP(E119,radky_R!$A:$B,2,0),IF(C119="Výsledovka",VLOOKUP(E119,radky_V!A:M,2,0)))))</f>
        <v>Stát - daňové závazky a dotace</v>
      </c>
      <c r="R119" s="179" t="str">
        <f>IF(ISBLANK(L119),"není alternativa",IF(L119="-","není ve výkazech",VLOOKUP(L119,radky_R!$A:$B,2,0)))</f>
        <v>není alternativa</v>
      </c>
      <c r="S119" s="189" t="s">
        <v>253</v>
      </c>
      <c r="T119" s="189" t="s">
        <v>639</v>
      </c>
    </row>
    <row r="120" spans="1:22" x14ac:dyDescent="0.2">
      <c r="A120" s="196">
        <v>348</v>
      </c>
      <c r="C120" s="189" t="s">
        <v>342</v>
      </c>
      <c r="D120" s="503" t="s">
        <v>290</v>
      </c>
      <c r="E120" s="508"/>
      <c r="F120" s="504"/>
      <c r="G120" s="504"/>
      <c r="H120" s="504"/>
      <c r="I120" s="504"/>
      <c r="J120" s="504"/>
      <c r="K120" s="179" t="str">
        <f>IF(ISBLANK(E120),"ručně doplnit",IF(E120="-","není ve výkazech",IF(C120="Rozvaha",VLOOKUP(E120,radky_R!$A:$B,2,0),IF(C120="Výsledovka",VLOOKUP(E120,radky_V!A:M,2,0)))))</f>
        <v>ručně doplnit</v>
      </c>
      <c r="R120" s="179" t="str">
        <f>IF(ISBLANK(L120),"není alternativa",IF(L120="-","není ve výkazech",VLOOKUP(L120,radky_R!$A:$B,2,0)))</f>
        <v>není alternativa</v>
      </c>
      <c r="S120" s="189" t="s">
        <v>253</v>
      </c>
      <c r="T120" s="189" t="s">
        <v>639</v>
      </c>
    </row>
    <row r="121" spans="1:22" x14ac:dyDescent="0.2">
      <c r="A121" s="196">
        <v>349</v>
      </c>
      <c r="B121" s="189" t="s">
        <v>86</v>
      </c>
      <c r="C121" s="189" t="s">
        <v>342</v>
      </c>
      <c r="D121" s="503" t="s">
        <v>278</v>
      </c>
      <c r="E121" s="508"/>
      <c r="F121" s="504"/>
      <c r="G121" s="504"/>
      <c r="H121" s="504"/>
      <c r="I121" s="504"/>
      <c r="J121" s="504"/>
      <c r="K121" s="179" t="str">
        <f>IF(ISBLANK(E121),"ručně doplnit",IF(E121="-","není ve výkazech",IF(C121="Rozvaha",VLOOKUP(E121,radky_R!$A:$B,2,0),IF(C121="Výsledovka",VLOOKUP(E121,radky_V!A:M,2,0)))))</f>
        <v>ručně doplnit</v>
      </c>
      <c r="R121" s="179" t="str">
        <f>IF(ISBLANK(L121),"není alternativa",IF(L121="-","není ve výkazech",VLOOKUP(L121,radky_R!$A:$B,2,0)))</f>
        <v>není alternativa</v>
      </c>
      <c r="S121" s="189" t="s">
        <v>253</v>
      </c>
      <c r="T121" s="189" t="s">
        <v>639</v>
      </c>
    </row>
    <row r="122" spans="1:22" x14ac:dyDescent="0.2">
      <c r="A122" s="196">
        <v>351</v>
      </c>
      <c r="B122" s="189" t="s">
        <v>87</v>
      </c>
      <c r="C122" s="189" t="s">
        <v>342</v>
      </c>
      <c r="D122" s="503" t="s">
        <v>278</v>
      </c>
      <c r="E122" s="508">
        <v>59</v>
      </c>
      <c r="F122" s="504" t="s">
        <v>264</v>
      </c>
      <c r="G122" s="504" t="s">
        <v>249</v>
      </c>
      <c r="H122" s="504" t="s">
        <v>241</v>
      </c>
      <c r="I122" s="504" t="s">
        <v>241</v>
      </c>
      <c r="J122" s="504"/>
      <c r="K122" s="179" t="str">
        <f>IF(ISBLANK(E122),"ručně doplnit",IF(E122="-","není ve výkazech",IF(C122="Rozvaha",VLOOKUP(E122,radky_R!$A:$B,2,0),IF(C122="Výsledovka",VLOOKUP(E122,radky_V!A:M,2,0)))))</f>
        <v>Pohledávky - ovládaná nebo ovládající osoba</v>
      </c>
      <c r="R122" s="179" t="str">
        <f>IF(ISBLANK(L122),"není alternativa",IF(L122="-","není ve výkazech",VLOOKUP(L122,radky_R!$A:$B,2,0)))</f>
        <v>není alternativa</v>
      </c>
      <c r="S122" s="189" t="s">
        <v>253</v>
      </c>
      <c r="T122" s="189" t="s">
        <v>634</v>
      </c>
      <c r="U122" s="189"/>
      <c r="V122" s="189"/>
    </row>
    <row r="123" spans="1:22" x14ac:dyDescent="0.2">
      <c r="A123" s="196">
        <v>351</v>
      </c>
      <c r="B123" s="189" t="s">
        <v>87</v>
      </c>
      <c r="C123" s="189" t="s">
        <v>342</v>
      </c>
      <c r="D123" s="503" t="s">
        <v>278</v>
      </c>
      <c r="E123" s="508">
        <v>49</v>
      </c>
      <c r="F123" s="504" t="s">
        <v>264</v>
      </c>
      <c r="G123" s="504" t="s">
        <v>249</v>
      </c>
      <c r="H123" s="504" t="s">
        <v>240</v>
      </c>
      <c r="I123" s="504" t="s">
        <v>241</v>
      </c>
      <c r="J123" s="504"/>
      <c r="K123" s="179" t="str">
        <f>IF(ISBLANK(E123),"ručně doplnit",IF(E123="-","není ve výkazech",IF(C123="Rozvaha",VLOOKUP(E123,radky_R!$A:$B,2,0),IF(C123="Výsledovka",VLOOKUP(E123,radky_V!A:M,2,0)))))</f>
        <v>Pohledávky - ovládaná nebo ovládající osoba</v>
      </c>
      <c r="R123" s="179" t="str">
        <f>IF(ISBLANK(L123),"není alternativa",IF(L123="-","není ve výkazech",VLOOKUP(L123,radky_R!$A:$B,2,0)))</f>
        <v>není alternativa</v>
      </c>
      <c r="S123" s="189" t="s">
        <v>253</v>
      </c>
      <c r="T123" s="189" t="s">
        <v>634</v>
      </c>
      <c r="U123" s="189"/>
      <c r="V123" s="189"/>
    </row>
    <row r="124" spans="1:22" x14ac:dyDescent="0.2">
      <c r="A124" s="196">
        <v>352</v>
      </c>
      <c r="B124" s="189" t="s">
        <v>88</v>
      </c>
      <c r="C124" s="189" t="s">
        <v>342</v>
      </c>
      <c r="D124" s="503" t="s">
        <v>278</v>
      </c>
      <c r="E124" s="508">
        <v>60</v>
      </c>
      <c r="F124" s="504" t="s">
        <v>264</v>
      </c>
      <c r="G124" s="504" t="s">
        <v>249</v>
      </c>
      <c r="H124" s="504" t="s">
        <v>241</v>
      </c>
      <c r="I124" s="504" t="s">
        <v>242</v>
      </c>
      <c r="J124" s="504"/>
      <c r="K124" s="179" t="str">
        <f>IF(ISBLANK(E124),"ručně doplnit",IF(E124="-","není ve výkazech",IF(C124="Rozvaha",VLOOKUP(E124,radky_R!$A:$B,2,0),IF(C124="Výsledovka",VLOOKUP(E124,radky_V!A:M,2,0)))))</f>
        <v>Pohledávky - podstatný vliv</v>
      </c>
      <c r="R124" s="179" t="str">
        <f>IF(ISBLANK(L124),"není alternativa",IF(L124="-","není ve výkazech",VLOOKUP(L124,radky_R!$A:$B,2,0)))</f>
        <v>není alternativa</v>
      </c>
      <c r="S124" s="189" t="s">
        <v>253</v>
      </c>
      <c r="T124" s="189" t="s">
        <v>634</v>
      </c>
      <c r="U124" s="189"/>
      <c r="V124" s="189"/>
    </row>
    <row r="125" spans="1:22" x14ac:dyDescent="0.2">
      <c r="A125" s="196">
        <v>352</v>
      </c>
      <c r="B125" s="189" t="s">
        <v>88</v>
      </c>
      <c r="C125" s="189" t="s">
        <v>342</v>
      </c>
      <c r="D125" s="503" t="s">
        <v>278</v>
      </c>
      <c r="E125" s="508">
        <v>50</v>
      </c>
      <c r="F125" s="504" t="s">
        <v>264</v>
      </c>
      <c r="G125" s="504" t="s">
        <v>249</v>
      </c>
      <c r="H125" s="504" t="s">
        <v>240</v>
      </c>
      <c r="I125" s="504" t="s">
        <v>242</v>
      </c>
      <c r="J125" s="504"/>
      <c r="K125" s="179" t="str">
        <f>IF(ISBLANK(E125),"ručně doplnit",IF(E125="-","není ve výkazech",IF(C125="Rozvaha",VLOOKUP(E125,radky_R!$A:$B,2,0),IF(C125="Výsledovka",VLOOKUP(E125,radky_V!A:M,2,0)))))</f>
        <v>Pohledávky - podstatný vliv</v>
      </c>
      <c r="R125" s="179" t="str">
        <f>IF(ISBLANK(L125),"není alternativa",IF(L125="-","není ve výkazech",VLOOKUP(L125,radky_R!$A:$B,2,0)))</f>
        <v>není alternativa</v>
      </c>
      <c r="S125" s="189" t="s">
        <v>253</v>
      </c>
      <c r="T125" s="189" t="s">
        <v>634</v>
      </c>
      <c r="U125" s="189"/>
      <c r="V125" s="189"/>
    </row>
    <row r="126" spans="1:22" x14ac:dyDescent="0.2">
      <c r="A126" s="196">
        <v>353</v>
      </c>
      <c r="B126" s="189" t="s">
        <v>89</v>
      </c>
      <c r="C126" s="189" t="s">
        <v>342</v>
      </c>
      <c r="D126" s="503" t="s">
        <v>278</v>
      </c>
      <c r="E126" s="508">
        <v>2</v>
      </c>
      <c r="F126" s="504" t="s">
        <v>237</v>
      </c>
      <c r="G126" s="504"/>
      <c r="H126" s="504"/>
      <c r="I126" s="504"/>
      <c r="J126" s="504"/>
      <c r="K126" s="179" t="str">
        <f>IF(ISBLANK(E126),"ručně doplnit",IF(E126="-","není ve výkazech",IF(C126="Rozvaha",VLOOKUP(E126,radky_R!$A:$B,2,0),IF(C126="Výsledovka",VLOOKUP(E126,radky_V!A:M,2,0)))))</f>
        <v>Pohledávky za upsaný základní kapitál</v>
      </c>
      <c r="R126" s="179" t="str">
        <f>IF(ISBLANK(L126),"není alternativa",IF(L126="-","není ve výkazech",VLOOKUP(L126,radky_R!$A:$B,2,0)))</f>
        <v>není alternativa</v>
      </c>
      <c r="S126" s="189" t="s">
        <v>253</v>
      </c>
      <c r="T126" s="189" t="s">
        <v>634</v>
      </c>
    </row>
    <row r="127" spans="1:22" x14ac:dyDescent="0.2">
      <c r="A127" s="196">
        <v>354</v>
      </c>
      <c r="B127" s="189" t="s">
        <v>90</v>
      </c>
      <c r="C127" s="189" t="s">
        <v>342</v>
      </c>
      <c r="D127" s="503" t="s">
        <v>278</v>
      </c>
      <c r="E127" s="508">
        <v>62</v>
      </c>
      <c r="F127" s="504" t="s">
        <v>264</v>
      </c>
      <c r="G127" s="504" t="s">
        <v>249</v>
      </c>
      <c r="H127" s="504" t="s">
        <v>241</v>
      </c>
      <c r="I127" s="504" t="s">
        <v>243</v>
      </c>
      <c r="J127" s="504" t="s">
        <v>240</v>
      </c>
      <c r="K127" s="179" t="str">
        <f>IF(ISBLANK(E127),"ručně doplnit",IF(E127="-","není ve výkazech",IF(C127="Rozvaha",VLOOKUP(E127,radky_R!$A:$B,2,0),IF(C127="Výsledovka",VLOOKUP(E127,radky_V!A:M,2,0)))))</f>
        <v>Pohledávky za společníky</v>
      </c>
      <c r="R127" s="179" t="str">
        <f>IF(ISBLANK(L127),"není alternativa",IF(L127="-","není ve výkazech",VLOOKUP(L127,radky_R!$A:$B,2,0)))</f>
        <v>není alternativa</v>
      </c>
      <c r="S127" s="189" t="s">
        <v>253</v>
      </c>
      <c r="T127" s="189" t="s">
        <v>634</v>
      </c>
    </row>
    <row r="128" spans="1:22" x14ac:dyDescent="0.2">
      <c r="A128" s="196">
        <v>354</v>
      </c>
      <c r="B128" s="189" t="s">
        <v>90</v>
      </c>
      <c r="C128" s="189" t="s">
        <v>342</v>
      </c>
      <c r="D128" s="503" t="s">
        <v>278</v>
      </c>
      <c r="E128" s="508">
        <v>53</v>
      </c>
      <c r="F128" s="504" t="s">
        <v>264</v>
      </c>
      <c r="G128" s="504" t="s">
        <v>249</v>
      </c>
      <c r="H128" s="504" t="s">
        <v>240</v>
      </c>
      <c r="I128" s="504" t="s">
        <v>244</v>
      </c>
      <c r="J128" s="504" t="s">
        <v>240</v>
      </c>
      <c r="K128" s="179" t="str">
        <f>IF(ISBLANK(E128),"ručně doplnit",IF(E128="-","není ve výkazech",IF(C128="Rozvaha",VLOOKUP(E128,radky_R!$A:$B,2,0),IF(C128="Výsledovka",VLOOKUP(E128,radky_V!A:M,2,0)))))</f>
        <v>Pohledávky za společníky</v>
      </c>
      <c r="R128" s="179" t="str">
        <f>IF(ISBLANK(L128),"není alternativa",IF(L128="-","není ve výkazech",VLOOKUP(L128,radky_R!$A:$B,2,0)))</f>
        <v>není alternativa</v>
      </c>
      <c r="S128" s="189" t="s">
        <v>253</v>
      </c>
      <c r="T128" s="189" t="s">
        <v>634</v>
      </c>
    </row>
    <row r="129" spans="1:22" x14ac:dyDescent="0.2">
      <c r="A129" s="196">
        <v>355</v>
      </c>
      <c r="B129" s="189" t="s">
        <v>91</v>
      </c>
      <c r="C129" s="189" t="s">
        <v>342</v>
      </c>
      <c r="D129" s="503" t="s">
        <v>278</v>
      </c>
      <c r="E129" s="508">
        <v>62</v>
      </c>
      <c r="F129" s="504" t="s">
        <v>264</v>
      </c>
      <c r="G129" s="504" t="s">
        <v>249</v>
      </c>
      <c r="H129" s="504" t="s">
        <v>241</v>
      </c>
      <c r="I129" s="504" t="s">
        <v>243</v>
      </c>
      <c r="J129" s="504" t="s">
        <v>240</v>
      </c>
      <c r="K129" s="179" t="str">
        <f>IF(ISBLANK(E129),"ručně doplnit",IF(E129="-","není ve výkazech",IF(C129="Rozvaha",VLOOKUP(E129,radky_R!$A:$B,2,0),IF(C129="Výsledovka",VLOOKUP(E129,radky_V!A:M,2,0)))))</f>
        <v>Pohledávky za společníky</v>
      </c>
      <c r="O129" s="506"/>
      <c r="P129" s="506"/>
      <c r="Q129" s="506"/>
      <c r="R129" s="179" t="str">
        <f>IF(ISBLANK(L129),"není alternativa",IF(L129="-","není ve výkazech",VLOOKUP(L129,radky_R!$A:$B,2,0)))</f>
        <v>není alternativa</v>
      </c>
      <c r="S129" s="189" t="s">
        <v>253</v>
      </c>
      <c r="T129" s="189" t="s">
        <v>634</v>
      </c>
      <c r="U129" s="189"/>
      <c r="V129" s="200"/>
    </row>
    <row r="130" spans="1:22" x14ac:dyDescent="0.2">
      <c r="A130" s="196">
        <v>355</v>
      </c>
      <c r="B130" s="189" t="s">
        <v>91</v>
      </c>
      <c r="C130" s="189" t="s">
        <v>342</v>
      </c>
      <c r="D130" s="503" t="s">
        <v>278</v>
      </c>
      <c r="E130" s="508">
        <v>53</v>
      </c>
      <c r="F130" s="504" t="s">
        <v>264</v>
      </c>
      <c r="G130" s="504" t="s">
        <v>249</v>
      </c>
      <c r="H130" s="504" t="s">
        <v>240</v>
      </c>
      <c r="I130" s="504" t="s">
        <v>244</v>
      </c>
      <c r="J130" s="504" t="s">
        <v>240</v>
      </c>
      <c r="K130" s="179" t="str">
        <f>IF(ISBLANK(E130),"ručně doplnit",IF(E130="-","není ve výkazech",IF(C130="Rozvaha",VLOOKUP(E130,radky_R!$A:$B,2,0),IF(C130="Výsledovka",VLOOKUP(E130,radky_V!A:M,2,0)))))</f>
        <v>Pohledávky za společníky</v>
      </c>
      <c r="O130" s="506"/>
      <c r="P130" s="506"/>
      <c r="Q130" s="506"/>
      <c r="R130" s="179" t="str">
        <f>IF(ISBLANK(L130),"není alternativa",IF(L130="-","není ve výkazech",VLOOKUP(L130,radky_R!$A:$B,2,0)))</f>
        <v>není alternativa</v>
      </c>
      <c r="S130" s="189" t="s">
        <v>253</v>
      </c>
      <c r="T130" s="189" t="s">
        <v>634</v>
      </c>
      <c r="U130" s="189"/>
      <c r="V130" s="200"/>
    </row>
    <row r="131" spans="1:22" x14ac:dyDescent="0.2">
      <c r="A131" s="196">
        <v>358</v>
      </c>
      <c r="B131" s="189" t="s">
        <v>92</v>
      </c>
      <c r="C131" s="189" t="s">
        <v>342</v>
      </c>
      <c r="D131" s="503" t="s">
        <v>278</v>
      </c>
      <c r="E131" s="508">
        <v>62</v>
      </c>
      <c r="F131" s="504" t="s">
        <v>264</v>
      </c>
      <c r="G131" s="504" t="s">
        <v>249</v>
      </c>
      <c r="H131" s="504" t="s">
        <v>241</v>
      </c>
      <c r="I131" s="504" t="s">
        <v>243</v>
      </c>
      <c r="J131" s="504" t="s">
        <v>240</v>
      </c>
      <c r="K131" s="179" t="str">
        <f>IF(ISBLANK(E131),"ručně doplnit",IF(E131="-","není ve výkazech",IF(C131="Rozvaha",VLOOKUP(E131,radky_R!$A:$B,2,0),IF(C131="Výsledovka",VLOOKUP(E131,radky_V!A:M,2,0)))))</f>
        <v>Pohledávky za společníky</v>
      </c>
      <c r="O131" s="506"/>
      <c r="P131" s="506"/>
      <c r="Q131" s="506"/>
      <c r="R131" s="179" t="str">
        <f>IF(ISBLANK(L131),"není alternativa",IF(L131="-","není ve výkazech",VLOOKUP(L131,radky_R!$A:$B,2,0)))</f>
        <v>není alternativa</v>
      </c>
      <c r="S131" s="189" t="s">
        <v>253</v>
      </c>
      <c r="T131" s="189" t="s">
        <v>634</v>
      </c>
      <c r="U131" s="189"/>
      <c r="V131" s="200"/>
    </row>
    <row r="132" spans="1:22" x14ac:dyDescent="0.2">
      <c r="A132" s="196">
        <v>358</v>
      </c>
      <c r="B132" s="189" t="s">
        <v>92</v>
      </c>
      <c r="C132" s="189" t="s">
        <v>342</v>
      </c>
      <c r="D132" s="503" t="s">
        <v>278</v>
      </c>
      <c r="E132" s="508">
        <v>53</v>
      </c>
      <c r="F132" s="504" t="s">
        <v>264</v>
      </c>
      <c r="G132" s="504" t="s">
        <v>249</v>
      </c>
      <c r="H132" s="504" t="s">
        <v>240</v>
      </c>
      <c r="I132" s="504" t="s">
        <v>244</v>
      </c>
      <c r="J132" s="504" t="s">
        <v>240</v>
      </c>
      <c r="K132" s="179" t="str">
        <f>IF(ISBLANK(E132),"ručně doplnit",IF(E132="-","není ve výkazech",IF(C132="Rozvaha",VLOOKUP(E132,radky_R!$A:$B,2,0),IF(C132="Výsledovka",VLOOKUP(E132,radky_V!A:M,2,0)))))</f>
        <v>Pohledávky za společníky</v>
      </c>
      <c r="O132" s="506"/>
      <c r="P132" s="506"/>
      <c r="Q132" s="506"/>
      <c r="R132" s="179" t="str">
        <f>IF(ISBLANK(L132),"není alternativa",IF(L132="-","není ve výkazech",VLOOKUP(L132,radky_R!$A:$B,2,0)))</f>
        <v>není alternativa</v>
      </c>
      <c r="S132" s="189" t="s">
        <v>253</v>
      </c>
      <c r="T132" s="189" t="s">
        <v>634</v>
      </c>
      <c r="U132" s="189"/>
      <c r="V132" s="200"/>
    </row>
    <row r="133" spans="1:22" x14ac:dyDescent="0.2">
      <c r="A133" s="196">
        <v>361</v>
      </c>
      <c r="B133" s="189" t="s">
        <v>93</v>
      </c>
      <c r="C133" s="189" t="s">
        <v>342</v>
      </c>
      <c r="D133" s="503" t="s">
        <v>290</v>
      </c>
      <c r="E133" s="508">
        <v>131</v>
      </c>
      <c r="F133" s="504" t="s">
        <v>264</v>
      </c>
      <c r="G133" s="504" t="s">
        <v>249</v>
      </c>
      <c r="H133" s="504" t="s">
        <v>245</v>
      </c>
      <c r="I133" s="504"/>
      <c r="J133" s="504"/>
      <c r="K133" s="179" t="str">
        <f>IF(ISBLANK(E133),"ručně doplnit",IF(E133="-","není ve výkazech",IF(C133="Rozvaha",VLOOKUP(E133,radky_R!$A:$B,2,0),IF(C133="Výsledovka",VLOOKUP(E133,radky_V!A:M,2,0)))))</f>
        <v>Závazky - ovládaná nebo ovládající osoba</v>
      </c>
      <c r="R133" s="179" t="str">
        <f>IF(ISBLANK(L133),"není alternativa",IF(L133="-","není ve výkazech",VLOOKUP(L133,radky_R!$A:$B,2,0)))</f>
        <v>není alternativa</v>
      </c>
      <c r="S133" s="189" t="s">
        <v>253</v>
      </c>
      <c r="T133" s="189" t="s">
        <v>634</v>
      </c>
    </row>
    <row r="134" spans="1:22" x14ac:dyDescent="0.2">
      <c r="A134" s="196">
        <v>362</v>
      </c>
      <c r="B134" s="189" t="s">
        <v>94</v>
      </c>
      <c r="C134" s="189" t="s">
        <v>342</v>
      </c>
      <c r="D134" s="503" t="s">
        <v>290</v>
      </c>
      <c r="E134" s="508">
        <v>132</v>
      </c>
      <c r="F134" s="504" t="s">
        <v>264</v>
      </c>
      <c r="G134" s="504" t="s">
        <v>249</v>
      </c>
      <c r="H134" s="504" t="s">
        <v>246</v>
      </c>
      <c r="I134" s="504"/>
      <c r="J134" s="504"/>
      <c r="K134" s="179" t="str">
        <f>IF(ISBLANK(E134),"ručně doplnit",IF(E134="-","není ve výkazech",IF(C134="Rozvaha",VLOOKUP(E134,radky_R!$A:$B,2,0),IF(C134="Výsledovka",VLOOKUP(E134,radky_V!A:M,2,0)))))</f>
        <v>Závazky - podstatný vliv</v>
      </c>
      <c r="R134" s="179" t="str">
        <f>IF(ISBLANK(L134),"není alternativa",IF(L134="-","není ve výkazech",VLOOKUP(L134,radky_R!$A:$B,2,0)))</f>
        <v>není alternativa</v>
      </c>
      <c r="S134" s="189" t="s">
        <v>253</v>
      </c>
      <c r="T134" s="189" t="s">
        <v>634</v>
      </c>
    </row>
    <row r="135" spans="1:22" x14ac:dyDescent="0.2">
      <c r="A135" s="196">
        <v>364</v>
      </c>
      <c r="B135" s="189" t="s">
        <v>95</v>
      </c>
      <c r="C135" s="189" t="s">
        <v>342</v>
      </c>
      <c r="D135" s="503" t="s">
        <v>290</v>
      </c>
      <c r="E135" s="508">
        <v>134</v>
      </c>
      <c r="F135" s="504" t="s">
        <v>264</v>
      </c>
      <c r="G135" s="504" t="s">
        <v>249</v>
      </c>
      <c r="H135" s="504" t="s">
        <v>247</v>
      </c>
      <c r="I135" s="504" t="s">
        <v>240</v>
      </c>
      <c r="J135" s="504"/>
      <c r="K135" s="179" t="str">
        <f>IF(ISBLANK(E135),"ručně doplnit",IF(E135="-","není ve výkazech",IF(C135="Rozvaha",VLOOKUP(E135,radky_R!$A:$B,2,0),IF(C135="Výsledovka",VLOOKUP(E135,radky_V!A:M,2,0)))))</f>
        <v>Závazky ke společníkům</v>
      </c>
      <c r="R135" s="179" t="str">
        <f>IF(ISBLANK(L135),"není alternativa",IF(L135="-","není ve výkazech",VLOOKUP(L135,radky_R!$A:$B,2,0)))</f>
        <v>není alternativa</v>
      </c>
      <c r="S135" s="189" t="s">
        <v>253</v>
      </c>
      <c r="T135" s="189" t="s">
        <v>634</v>
      </c>
    </row>
    <row r="136" spans="1:22" x14ac:dyDescent="0.2">
      <c r="A136" s="196">
        <v>364</v>
      </c>
      <c r="B136" s="189" t="s">
        <v>95</v>
      </c>
      <c r="C136" s="189" t="s">
        <v>342</v>
      </c>
      <c r="D136" s="503" t="s">
        <v>290</v>
      </c>
      <c r="E136" s="508">
        <v>120</v>
      </c>
      <c r="F136" s="504" t="s">
        <v>264</v>
      </c>
      <c r="G136" s="504" t="s">
        <v>239</v>
      </c>
      <c r="H136" s="504" t="s">
        <v>250</v>
      </c>
      <c r="I136" s="504" t="s">
        <v>240</v>
      </c>
      <c r="J136" s="504"/>
      <c r="K136" s="179" t="str">
        <f>IF(ISBLANK(E136),"ručně doplnit",IF(E136="-","není ve výkazech",IF(C136="Rozvaha",VLOOKUP(E136,radky_R!$A:$B,2,0),IF(C136="Výsledovka",VLOOKUP(E136,radky_V!A:M,2,0)))))</f>
        <v>Závazky ke společníkům</v>
      </c>
      <c r="R136" s="179" t="str">
        <f>IF(ISBLANK(L136),"není alternativa",IF(L136="-","není ve výkazech",VLOOKUP(L136,radky_R!$A:$B,2,0)))</f>
        <v>není alternativa</v>
      </c>
      <c r="S136" s="189" t="s">
        <v>253</v>
      </c>
      <c r="T136" s="189" t="s">
        <v>634</v>
      </c>
    </row>
    <row r="137" spans="1:22" x14ac:dyDescent="0.2">
      <c r="A137" s="196">
        <v>365</v>
      </c>
      <c r="B137" s="189" t="s">
        <v>96</v>
      </c>
      <c r="C137" s="189" t="s">
        <v>342</v>
      </c>
      <c r="D137" s="503" t="s">
        <v>290</v>
      </c>
      <c r="E137" s="508">
        <v>134</v>
      </c>
      <c r="F137" s="504" t="s">
        <v>264</v>
      </c>
      <c r="G137" s="504" t="s">
        <v>249</v>
      </c>
      <c r="H137" s="504" t="s">
        <v>247</v>
      </c>
      <c r="I137" s="504" t="s">
        <v>240</v>
      </c>
      <c r="J137" s="504"/>
      <c r="K137" s="179" t="str">
        <f>IF(ISBLANK(E137),"ručně doplnit",IF(E137="-","není ve výkazech",IF(C137="Rozvaha",VLOOKUP(E137,radky_R!$A:$B,2,0),IF(C137="Výsledovka",VLOOKUP(E137,radky_V!A:M,2,0)))))</f>
        <v>Závazky ke společníkům</v>
      </c>
      <c r="R137" s="179" t="str">
        <f>IF(ISBLANK(L137),"není alternativa",IF(L137="-","není ve výkazech",VLOOKUP(L137,radky_R!$A:$B,2,0)))</f>
        <v>není alternativa</v>
      </c>
      <c r="S137" s="189" t="s">
        <v>253</v>
      </c>
      <c r="T137" s="189" t="s">
        <v>634</v>
      </c>
    </row>
    <row r="138" spans="1:22" x14ac:dyDescent="0.2">
      <c r="A138" s="196">
        <v>365</v>
      </c>
      <c r="B138" s="189" t="s">
        <v>96</v>
      </c>
      <c r="C138" s="189" t="s">
        <v>342</v>
      </c>
      <c r="D138" s="503" t="s">
        <v>290</v>
      </c>
      <c r="E138" s="508">
        <v>120</v>
      </c>
      <c r="F138" s="504" t="s">
        <v>264</v>
      </c>
      <c r="G138" s="504" t="s">
        <v>239</v>
      </c>
      <c r="H138" s="504" t="s">
        <v>250</v>
      </c>
      <c r="I138" s="504" t="s">
        <v>240</v>
      </c>
      <c r="J138" s="504"/>
      <c r="K138" s="179" t="str">
        <f>IF(ISBLANK(E138),"ručně doplnit",IF(E138="-","není ve výkazech",IF(C138="Rozvaha",VLOOKUP(E138,radky_R!$A:$B,2,0),IF(C138="Výsledovka",VLOOKUP(E138,radky_V!A:M,2,0)))))</f>
        <v>Závazky ke společníkům</v>
      </c>
      <c r="R138" s="179" t="str">
        <f>IF(ISBLANK(L138),"není alternativa",IF(L138="-","není ve výkazech",VLOOKUP(L138,radky_R!$A:$B,2,0)))</f>
        <v>není alternativa</v>
      </c>
      <c r="S138" s="189" t="s">
        <v>253</v>
      </c>
      <c r="T138" s="189" t="s">
        <v>634</v>
      </c>
    </row>
    <row r="139" spans="1:22" x14ac:dyDescent="0.2">
      <c r="A139" s="196">
        <v>366</v>
      </c>
      <c r="B139" s="189" t="s">
        <v>97</v>
      </c>
      <c r="C139" s="189" t="s">
        <v>342</v>
      </c>
      <c r="D139" s="503" t="s">
        <v>290</v>
      </c>
      <c r="E139" s="508">
        <v>134</v>
      </c>
      <c r="F139" s="504" t="s">
        <v>264</v>
      </c>
      <c r="G139" s="504" t="s">
        <v>249</v>
      </c>
      <c r="H139" s="504" t="s">
        <v>247</v>
      </c>
      <c r="I139" s="504" t="s">
        <v>240</v>
      </c>
      <c r="J139" s="504"/>
      <c r="K139" s="179" t="str">
        <f>IF(ISBLANK(E139),"ručně doplnit",IF(E139="-","není ve výkazech",IF(C139="Rozvaha",VLOOKUP(E139,radky_R!$A:$B,2,0),IF(C139="Výsledovka",VLOOKUP(E139,radky_V!A:M,2,0)))))</f>
        <v>Závazky ke společníkům</v>
      </c>
      <c r="R139" s="179" t="str">
        <f>IF(ISBLANK(L139),"není alternativa",IF(L139="-","není ve výkazech",VLOOKUP(L139,radky_R!$A:$B,2,0)))</f>
        <v>není alternativa</v>
      </c>
      <c r="S139" s="189" t="s">
        <v>253</v>
      </c>
      <c r="T139" s="189" t="s">
        <v>634</v>
      </c>
    </row>
    <row r="140" spans="1:22" x14ac:dyDescent="0.2">
      <c r="A140" s="196">
        <v>366</v>
      </c>
      <c r="B140" s="189" t="s">
        <v>97</v>
      </c>
      <c r="C140" s="189" t="s">
        <v>342</v>
      </c>
      <c r="D140" s="503" t="s">
        <v>290</v>
      </c>
      <c r="E140" s="508">
        <v>120</v>
      </c>
      <c r="F140" s="504" t="s">
        <v>264</v>
      </c>
      <c r="G140" s="504" t="s">
        <v>239</v>
      </c>
      <c r="H140" s="504" t="s">
        <v>250</v>
      </c>
      <c r="I140" s="504" t="s">
        <v>240</v>
      </c>
      <c r="J140" s="504"/>
      <c r="K140" s="179" t="str">
        <f>IF(ISBLANK(E140),"ručně doplnit",IF(E140="-","není ve výkazech",IF(C140="Rozvaha",VLOOKUP(E140,radky_R!$A:$B,2,0),IF(C140="Výsledovka",VLOOKUP(E140,radky_V!A:M,2,0)))))</f>
        <v>Závazky ke společníkům</v>
      </c>
      <c r="R140" s="179" t="str">
        <f>IF(ISBLANK(L140),"není alternativa",IF(L140="-","není ve výkazech",VLOOKUP(L140,radky_R!$A:$B,2,0)))</f>
        <v>není alternativa</v>
      </c>
      <c r="S140" s="189" t="s">
        <v>253</v>
      </c>
      <c r="T140" s="189" t="s">
        <v>634</v>
      </c>
    </row>
    <row r="141" spans="1:22" x14ac:dyDescent="0.2">
      <c r="A141" s="196">
        <v>367</v>
      </c>
      <c r="B141" s="189" t="s">
        <v>98</v>
      </c>
      <c r="C141" s="189" t="s">
        <v>342</v>
      </c>
      <c r="D141" s="503" t="s">
        <v>290</v>
      </c>
      <c r="E141" s="508">
        <v>134</v>
      </c>
      <c r="F141" s="504" t="s">
        <v>264</v>
      </c>
      <c r="G141" s="504" t="s">
        <v>249</v>
      </c>
      <c r="H141" s="504" t="s">
        <v>247</v>
      </c>
      <c r="I141" s="504" t="s">
        <v>240</v>
      </c>
      <c r="J141" s="504"/>
      <c r="K141" s="179" t="str">
        <f>IF(ISBLANK(E141),"ručně doplnit",IF(E141="-","není ve výkazech",IF(C141="Rozvaha",VLOOKUP(E141,radky_R!$A:$B,2,0),IF(C141="Výsledovka",VLOOKUP(E141,radky_V!A:M,2,0)))))</f>
        <v>Závazky ke společníkům</v>
      </c>
      <c r="R141" s="179" t="str">
        <f>IF(ISBLANK(L141),"není alternativa",IF(L141="-","není ve výkazech",VLOOKUP(L141,radky_R!$A:$B,2,0)))</f>
        <v>není alternativa</v>
      </c>
      <c r="S141" s="189" t="s">
        <v>253</v>
      </c>
      <c r="T141" s="189" t="s">
        <v>634</v>
      </c>
    </row>
    <row r="142" spans="1:22" x14ac:dyDescent="0.2">
      <c r="A142" s="196">
        <v>367</v>
      </c>
      <c r="B142" s="189" t="s">
        <v>98</v>
      </c>
      <c r="C142" s="189" t="s">
        <v>342</v>
      </c>
      <c r="D142" s="503" t="s">
        <v>290</v>
      </c>
      <c r="E142" s="508">
        <v>120</v>
      </c>
      <c r="F142" s="504" t="s">
        <v>264</v>
      </c>
      <c r="G142" s="504" t="s">
        <v>239</v>
      </c>
      <c r="H142" s="504" t="s">
        <v>250</v>
      </c>
      <c r="I142" s="504" t="s">
        <v>240</v>
      </c>
      <c r="J142" s="504"/>
      <c r="K142" s="179" t="str">
        <f>IF(ISBLANK(E142),"ručně doplnit",IF(E142="-","není ve výkazech",IF(C142="Rozvaha",VLOOKUP(E142,radky_R!$A:$B,2,0),IF(C142="Výsledovka",VLOOKUP(E142,radky_V!A:M,2,0)))))</f>
        <v>Závazky ke společníkům</v>
      </c>
      <c r="R142" s="179" t="str">
        <f>IF(ISBLANK(L142),"není alternativa",IF(L142="-","není ve výkazech",VLOOKUP(L142,radky_R!$A:$B,2,0)))</f>
        <v>není alternativa</v>
      </c>
      <c r="S142" s="189" t="s">
        <v>253</v>
      </c>
      <c r="T142" s="189" t="s">
        <v>634</v>
      </c>
    </row>
    <row r="143" spans="1:22" x14ac:dyDescent="0.2">
      <c r="A143" s="196">
        <v>368</v>
      </c>
      <c r="B143" s="189" t="s">
        <v>99</v>
      </c>
      <c r="C143" s="189" t="s">
        <v>342</v>
      </c>
      <c r="D143" s="503" t="s">
        <v>290</v>
      </c>
      <c r="E143" s="508">
        <v>134</v>
      </c>
      <c r="F143" s="504" t="s">
        <v>264</v>
      </c>
      <c r="G143" s="504" t="s">
        <v>249</v>
      </c>
      <c r="H143" s="504" t="s">
        <v>247</v>
      </c>
      <c r="I143" s="504" t="s">
        <v>240</v>
      </c>
      <c r="J143" s="504"/>
      <c r="K143" s="179" t="str">
        <f>IF(ISBLANK(E143),"ručně doplnit",IF(E143="-","není ve výkazech",IF(C143="Rozvaha",VLOOKUP(E143,radky_R!$A:$B,2,0),IF(C143="Výsledovka",VLOOKUP(E143,radky_V!A:M,2,0)))))</f>
        <v>Závazky ke společníkům</v>
      </c>
      <c r="R143" s="179" t="str">
        <f>IF(ISBLANK(L143),"není alternativa",IF(L143="-","není ve výkazech",VLOOKUP(L143,radky_R!$A:$B,2,0)))</f>
        <v>není alternativa</v>
      </c>
      <c r="S143" s="189" t="s">
        <v>253</v>
      </c>
      <c r="T143" s="189" t="s">
        <v>634</v>
      </c>
    </row>
    <row r="144" spans="1:22" x14ac:dyDescent="0.2">
      <c r="A144" s="196">
        <v>368</v>
      </c>
      <c r="B144" s="189" t="s">
        <v>99</v>
      </c>
      <c r="C144" s="189" t="s">
        <v>342</v>
      </c>
      <c r="D144" s="503" t="s">
        <v>290</v>
      </c>
      <c r="E144" s="508">
        <v>120</v>
      </c>
      <c r="F144" s="504" t="s">
        <v>264</v>
      </c>
      <c r="G144" s="504" t="s">
        <v>239</v>
      </c>
      <c r="H144" s="504" t="s">
        <v>250</v>
      </c>
      <c r="I144" s="504" t="s">
        <v>240</v>
      </c>
      <c r="J144" s="504"/>
      <c r="K144" s="179" t="str">
        <f>IF(ISBLANK(E144),"ručně doplnit",IF(E144="-","není ve výkazech",IF(C144="Rozvaha",VLOOKUP(E144,radky_R!$A:$B,2,0),IF(C144="Výsledovka",VLOOKUP(E144,radky_V!A:M,2,0)))))</f>
        <v>Závazky ke společníkům</v>
      </c>
      <c r="R144" s="179" t="str">
        <f>IF(ISBLANK(L144),"není alternativa",IF(L144="-","není ve výkazech",VLOOKUP(L144,radky_R!$A:$B,2,0)))</f>
        <v>není alternativa</v>
      </c>
      <c r="S144" s="189" t="s">
        <v>253</v>
      </c>
      <c r="T144" s="189" t="s">
        <v>634</v>
      </c>
    </row>
    <row r="145" spans="1:20" x14ac:dyDescent="0.2">
      <c r="A145" s="196">
        <v>371</v>
      </c>
      <c r="B145" s="189" t="s">
        <v>100</v>
      </c>
      <c r="C145" s="189" t="s">
        <v>342</v>
      </c>
      <c r="D145" s="503" t="s">
        <v>278</v>
      </c>
      <c r="E145" s="508">
        <v>67</v>
      </c>
      <c r="F145" s="504" t="s">
        <v>264</v>
      </c>
      <c r="G145" s="504" t="s">
        <v>249</v>
      </c>
      <c r="H145" s="504" t="s">
        <v>241</v>
      </c>
      <c r="I145" s="504" t="s">
        <v>243</v>
      </c>
      <c r="J145" s="504" t="s">
        <v>245</v>
      </c>
      <c r="K145" s="179" t="str">
        <f>IF(ISBLANK(E145),"ručně doplnit",IF(E145="-","není ve výkazech",IF(C145="Rozvaha",VLOOKUP(E145,radky_R!$A:$B,2,0),IF(C145="Výsledovka",VLOOKUP(E145,radky_V!A:M,2,0)))))</f>
        <v>Jiné pohledávky</v>
      </c>
      <c r="R145" s="179" t="str">
        <f>IF(ISBLANK(L145),"není alternativa",IF(L145="-","není ve výkazech",VLOOKUP(L145,radky_R!$A:$B,2,0)))</f>
        <v>není alternativa</v>
      </c>
      <c r="S145" s="189" t="s">
        <v>253</v>
      </c>
      <c r="T145" s="189" t="s">
        <v>634</v>
      </c>
    </row>
    <row r="146" spans="1:20" x14ac:dyDescent="0.2">
      <c r="A146" s="196">
        <v>371</v>
      </c>
      <c r="B146" s="189" t="s">
        <v>100</v>
      </c>
      <c r="C146" s="189" t="s">
        <v>342</v>
      </c>
      <c r="D146" s="503" t="s">
        <v>278</v>
      </c>
      <c r="E146" s="508">
        <v>56</v>
      </c>
      <c r="F146" s="504" t="s">
        <v>264</v>
      </c>
      <c r="G146" s="504" t="s">
        <v>249</v>
      </c>
      <c r="H146" s="504" t="s">
        <v>240</v>
      </c>
      <c r="I146" s="504" t="s">
        <v>244</v>
      </c>
      <c r="J146" s="504" t="s">
        <v>243</v>
      </c>
      <c r="K146" s="179" t="str">
        <f>IF(ISBLANK(E146),"ručně doplnit",IF(E146="-","není ve výkazech",IF(C146="Rozvaha",VLOOKUP(E146,radky_R!$A:$B,2,0),IF(C146="Výsledovka",VLOOKUP(E146,radky_V!A:M,2,0)))))</f>
        <v>Jiné pohledávky</v>
      </c>
      <c r="R146" s="179" t="str">
        <f>IF(ISBLANK(L146),"není alternativa",IF(L146="-","není ve výkazech",VLOOKUP(L146,radky_R!$A:$B,2,0)))</f>
        <v>není alternativa</v>
      </c>
      <c r="S146" s="189" t="s">
        <v>253</v>
      </c>
      <c r="T146" s="189" t="s">
        <v>634</v>
      </c>
    </row>
    <row r="147" spans="1:20" x14ac:dyDescent="0.2">
      <c r="A147" s="196">
        <v>372</v>
      </c>
      <c r="B147" s="189" t="s">
        <v>778</v>
      </c>
      <c r="C147" s="189" t="s">
        <v>342</v>
      </c>
      <c r="D147" s="503" t="s">
        <v>290</v>
      </c>
      <c r="E147" s="508">
        <v>140</v>
      </c>
      <c r="F147" s="504" t="s">
        <v>264</v>
      </c>
      <c r="G147" s="504" t="s">
        <v>249</v>
      </c>
      <c r="H147" s="504" t="s">
        <v>247</v>
      </c>
      <c r="I147" s="504" t="s">
        <v>246</v>
      </c>
      <c r="J147" s="504"/>
      <c r="K147" s="179" t="str">
        <f>IF(ISBLANK(E147),"ručně doplnit",IF(E147="-","není ve výkazech",IF(C147="Rozvaha",VLOOKUP(E147,radky_R!$A:$B,2,0),IF(C147="Výsledovka",VLOOKUP(E147,radky_V!A:M,2,0)))))</f>
        <v>Jiné závazky</v>
      </c>
      <c r="R147" s="179" t="str">
        <f>IF(ISBLANK(L147),"není alternativa",IF(L147="-","není ve výkazech",VLOOKUP(L147,radky_R!$A:$B,2,0)))</f>
        <v>není alternativa</v>
      </c>
      <c r="S147" s="189" t="s">
        <v>253</v>
      </c>
      <c r="T147" s="189" t="s">
        <v>634</v>
      </c>
    </row>
    <row r="148" spans="1:20" x14ac:dyDescent="0.2">
      <c r="A148" s="196">
        <v>372</v>
      </c>
      <c r="B148" s="189" t="s">
        <v>778</v>
      </c>
      <c r="C148" s="189" t="s">
        <v>342</v>
      </c>
      <c r="D148" s="503" t="s">
        <v>290</v>
      </c>
      <c r="E148" s="508">
        <v>122</v>
      </c>
      <c r="F148" s="504" t="s">
        <v>264</v>
      </c>
      <c r="G148" s="504" t="s">
        <v>239</v>
      </c>
      <c r="H148" s="504" t="s">
        <v>250</v>
      </c>
      <c r="I148" s="504" t="s">
        <v>242</v>
      </c>
      <c r="J148" s="504"/>
      <c r="K148" s="179" t="str">
        <f>IF(ISBLANK(E148),"ručně doplnit",IF(E148="-","není ve výkazech",IF(C148="Rozvaha",VLOOKUP(E148,radky_R!$A:$B,2,0),IF(C148="Výsledovka",VLOOKUP(E148,radky_V!A:M,2,0)))))</f>
        <v>Jiné závazky</v>
      </c>
      <c r="R148" s="179" t="str">
        <f>IF(ISBLANK(L148),"není alternativa",IF(L148="-","není ve výkazech",VLOOKUP(L148,radky_R!$A:$B,2,0)))</f>
        <v>není alternativa</v>
      </c>
      <c r="S148" s="189" t="s">
        <v>253</v>
      </c>
      <c r="T148" s="189" t="s">
        <v>634</v>
      </c>
    </row>
    <row r="149" spans="1:20" x14ac:dyDescent="0.2">
      <c r="A149" s="196">
        <v>373</v>
      </c>
      <c r="B149" s="189" t="s">
        <v>101</v>
      </c>
      <c r="C149" s="189" t="s">
        <v>342</v>
      </c>
      <c r="D149" s="503" t="s">
        <v>317</v>
      </c>
      <c r="E149" s="508">
        <v>67</v>
      </c>
      <c r="F149" s="504" t="s">
        <v>264</v>
      </c>
      <c r="G149" s="504" t="s">
        <v>249</v>
      </c>
      <c r="H149" s="504" t="s">
        <v>241</v>
      </c>
      <c r="I149" s="504" t="s">
        <v>243</v>
      </c>
      <c r="J149" s="504" t="s">
        <v>245</v>
      </c>
      <c r="K149" s="179" t="str">
        <f>IF(ISBLANK(E149),"ručně doplnit",IF(E149="-","není ve výkazech",IF(C149="Rozvaha",VLOOKUP(E149,radky_R!$A:$B,2,0),IF(C149="Výsledovka",VLOOKUP(E149,radky_V!A:M,2,0)))))</f>
        <v>Jiné pohledávky</v>
      </c>
      <c r="L149" s="508">
        <v>140</v>
      </c>
      <c r="M149" s="504" t="s">
        <v>264</v>
      </c>
      <c r="N149" s="504" t="s">
        <v>249</v>
      </c>
      <c r="O149" s="504" t="s">
        <v>247</v>
      </c>
      <c r="P149" s="504" t="s">
        <v>246</v>
      </c>
      <c r="R149" s="179" t="str">
        <f>IF(ISBLANK(L149),"není alternativa",IF(L149="-","není ve výkazech",VLOOKUP(L149,radky_R!$A:$B,2,0)))</f>
        <v>Jiné závazky</v>
      </c>
      <c r="S149" s="189" t="s">
        <v>253</v>
      </c>
      <c r="T149" s="189" t="s">
        <v>634</v>
      </c>
    </row>
    <row r="150" spans="1:20" x14ac:dyDescent="0.2">
      <c r="A150" s="196">
        <v>373</v>
      </c>
      <c r="B150" s="189" t="s">
        <v>101</v>
      </c>
      <c r="C150" s="189" t="s">
        <v>342</v>
      </c>
      <c r="D150" s="503" t="s">
        <v>317</v>
      </c>
      <c r="E150" s="508">
        <v>56</v>
      </c>
      <c r="F150" s="504" t="s">
        <v>264</v>
      </c>
      <c r="G150" s="504" t="s">
        <v>249</v>
      </c>
      <c r="H150" s="504" t="s">
        <v>240</v>
      </c>
      <c r="I150" s="504" t="s">
        <v>244</v>
      </c>
      <c r="J150" s="504" t="s">
        <v>243</v>
      </c>
      <c r="K150" s="179" t="str">
        <f>IF(ISBLANK(E150),"ručně doplnit",IF(E150="-","není ve výkazech",IF(C150="Rozvaha",VLOOKUP(E150,radky_R!$A:$B,2,0),IF(C150="Výsledovka",VLOOKUP(E150,radky_V!A:M,2,0)))))</f>
        <v>Jiné pohledávky</v>
      </c>
      <c r="L150" s="508">
        <v>122</v>
      </c>
      <c r="M150" s="504" t="s">
        <v>264</v>
      </c>
      <c r="N150" s="504" t="s">
        <v>239</v>
      </c>
      <c r="O150" s="504" t="s">
        <v>250</v>
      </c>
      <c r="P150" s="504" t="s">
        <v>242</v>
      </c>
      <c r="R150" s="179" t="str">
        <f>IF(ISBLANK(L150),"není alternativa",IF(L150="-","není ve výkazech",VLOOKUP(L150,radky_R!$A:$B,2,0)))</f>
        <v>Jiné závazky</v>
      </c>
      <c r="S150" s="189" t="s">
        <v>253</v>
      </c>
      <c r="T150" s="189" t="s">
        <v>634</v>
      </c>
    </row>
    <row r="151" spans="1:20" x14ac:dyDescent="0.2">
      <c r="A151" s="196">
        <v>374</v>
      </c>
      <c r="B151" s="189" t="s">
        <v>102</v>
      </c>
      <c r="C151" s="189" t="s">
        <v>342</v>
      </c>
      <c r="D151" s="503" t="s">
        <v>278</v>
      </c>
      <c r="E151" s="508">
        <v>67</v>
      </c>
      <c r="F151" s="504" t="s">
        <v>264</v>
      </c>
      <c r="G151" s="504" t="s">
        <v>249</v>
      </c>
      <c r="H151" s="504" t="s">
        <v>241</v>
      </c>
      <c r="I151" s="504" t="s">
        <v>243</v>
      </c>
      <c r="J151" s="504" t="s">
        <v>245</v>
      </c>
      <c r="K151" s="179" t="str">
        <f>IF(ISBLANK(E151),"ručně doplnit",IF(E151="-","není ve výkazech",IF(C151="Rozvaha",VLOOKUP(E151,radky_R!$A:$B,2,0),IF(C151="Výsledovka",VLOOKUP(E151,radky_V!A:M,2,0)))))</f>
        <v>Jiné pohledávky</v>
      </c>
      <c r="R151" s="179" t="str">
        <f>IF(ISBLANK(L151),"není alternativa",IF(L151="-","není ve výkazech",VLOOKUP(L151,radky_R!$A:$B,2,0)))</f>
        <v>není alternativa</v>
      </c>
      <c r="S151" s="189" t="s">
        <v>253</v>
      </c>
      <c r="T151" s="189" t="s">
        <v>636</v>
      </c>
    </row>
    <row r="152" spans="1:20" x14ac:dyDescent="0.2">
      <c r="A152" s="196">
        <v>374</v>
      </c>
      <c r="B152" s="189" t="s">
        <v>102</v>
      </c>
      <c r="C152" s="189" t="s">
        <v>342</v>
      </c>
      <c r="D152" s="503" t="s">
        <v>278</v>
      </c>
      <c r="E152" s="508">
        <v>56</v>
      </c>
      <c r="F152" s="504" t="s">
        <v>264</v>
      </c>
      <c r="G152" s="504" t="s">
        <v>249</v>
      </c>
      <c r="H152" s="504" t="s">
        <v>240</v>
      </c>
      <c r="I152" s="504" t="s">
        <v>244</v>
      </c>
      <c r="J152" s="504" t="s">
        <v>243</v>
      </c>
      <c r="K152" s="179" t="str">
        <f>IF(ISBLANK(E152),"ručně doplnit",IF(E152="-","není ve výkazech",IF(C152="Rozvaha",VLOOKUP(E152,radky_R!$A:$B,2,0),IF(C152="Výsledovka",VLOOKUP(E152,radky_V!A:M,2,0)))))</f>
        <v>Jiné pohledávky</v>
      </c>
      <c r="R152" s="179" t="str">
        <f>IF(ISBLANK(L152),"není alternativa",IF(L152="-","není ve výkazech",VLOOKUP(L152,radky_R!$A:$B,2,0)))</f>
        <v>není alternativa</v>
      </c>
      <c r="S152" s="189" t="s">
        <v>253</v>
      </c>
      <c r="T152" s="189" t="s">
        <v>636</v>
      </c>
    </row>
    <row r="153" spans="1:20" x14ac:dyDescent="0.2">
      <c r="A153" s="196">
        <v>375</v>
      </c>
      <c r="B153" s="189" t="s">
        <v>103</v>
      </c>
      <c r="C153" s="189" t="s">
        <v>342</v>
      </c>
      <c r="D153" s="503" t="s">
        <v>278</v>
      </c>
      <c r="E153" s="508">
        <v>67</v>
      </c>
      <c r="F153" s="504" t="s">
        <v>264</v>
      </c>
      <c r="G153" s="504" t="s">
        <v>249</v>
      </c>
      <c r="H153" s="504" t="s">
        <v>241</v>
      </c>
      <c r="I153" s="504" t="s">
        <v>243</v>
      </c>
      <c r="J153" s="504" t="s">
        <v>245</v>
      </c>
      <c r="K153" s="179" t="str">
        <f>IF(ISBLANK(E153),"ručně doplnit",IF(E153="-","není ve výkazech",IF(C153="Rozvaha",VLOOKUP(E153,radky_R!$A:$B,2,0),IF(C153="Výsledovka",VLOOKUP(E153,radky_V!A:M,2,0)))))</f>
        <v>Jiné pohledávky</v>
      </c>
      <c r="R153" s="179" t="str">
        <f>IF(ISBLANK(L153),"není alternativa",IF(L153="-","není ve výkazech",VLOOKUP(L153,radky_R!$A:$B,2,0)))</f>
        <v>není alternativa</v>
      </c>
      <c r="S153" s="189" t="s">
        <v>253</v>
      </c>
      <c r="T153" s="189" t="s">
        <v>634</v>
      </c>
    </row>
    <row r="154" spans="1:20" x14ac:dyDescent="0.2">
      <c r="A154" s="196">
        <v>375</v>
      </c>
      <c r="B154" s="189" t="s">
        <v>103</v>
      </c>
      <c r="C154" s="189" t="s">
        <v>342</v>
      </c>
      <c r="D154" s="503" t="s">
        <v>278</v>
      </c>
      <c r="E154" s="508">
        <v>56</v>
      </c>
      <c r="F154" s="504" t="s">
        <v>264</v>
      </c>
      <c r="G154" s="504" t="s">
        <v>249</v>
      </c>
      <c r="H154" s="504" t="s">
        <v>240</v>
      </c>
      <c r="I154" s="504" t="s">
        <v>244</v>
      </c>
      <c r="J154" s="504" t="s">
        <v>243</v>
      </c>
      <c r="K154" s="179" t="str">
        <f>IF(ISBLANK(E154),"ručně doplnit",IF(E154="-","není ve výkazech",IF(C154="Rozvaha",VLOOKUP(E154,radky_R!$A:$B,2,0),IF(C154="Výsledovka",VLOOKUP(E154,radky_V!A:M,2,0)))))</f>
        <v>Jiné pohledávky</v>
      </c>
      <c r="R154" s="179" t="str">
        <f>IF(ISBLANK(L154),"není alternativa",IF(L154="-","není ve výkazech",VLOOKUP(L154,radky_R!$A:$B,2,0)))</f>
        <v>není alternativa</v>
      </c>
      <c r="S154" s="189" t="s">
        <v>253</v>
      </c>
      <c r="T154" s="189" t="s">
        <v>634</v>
      </c>
    </row>
    <row r="155" spans="1:20" x14ac:dyDescent="0.2">
      <c r="A155" s="196">
        <v>376</v>
      </c>
      <c r="B155" s="189" t="s">
        <v>104</v>
      </c>
      <c r="C155" s="189" t="s">
        <v>342</v>
      </c>
      <c r="D155" s="503" t="s">
        <v>278</v>
      </c>
      <c r="E155" s="508">
        <v>67</v>
      </c>
      <c r="F155" s="504" t="s">
        <v>264</v>
      </c>
      <c r="G155" s="504" t="s">
        <v>249</v>
      </c>
      <c r="H155" s="504" t="s">
        <v>241</v>
      </c>
      <c r="I155" s="504" t="s">
        <v>243</v>
      </c>
      <c r="J155" s="504" t="s">
        <v>245</v>
      </c>
      <c r="K155" s="179" t="str">
        <f>IF(ISBLANK(E155),"ručně doplnit",IF(E155="-","není ve výkazech",IF(C155="Rozvaha",VLOOKUP(E155,radky_R!$A:$B,2,0),IF(C155="Výsledovka",VLOOKUP(E155,radky_V!A:M,2,0)))))</f>
        <v>Jiné pohledávky</v>
      </c>
      <c r="R155" s="179" t="str">
        <f>IF(ISBLANK(L155),"není alternativa",IF(L155="-","není ve výkazech",VLOOKUP(L155,radky_R!$A:$B,2,0)))</f>
        <v>není alternativa</v>
      </c>
      <c r="S155" s="189" t="s">
        <v>253</v>
      </c>
      <c r="T155" s="189" t="s">
        <v>634</v>
      </c>
    </row>
    <row r="156" spans="1:20" x14ac:dyDescent="0.2">
      <c r="A156" s="196">
        <v>376</v>
      </c>
      <c r="B156" s="189" t="s">
        <v>104</v>
      </c>
      <c r="C156" s="189" t="s">
        <v>342</v>
      </c>
      <c r="D156" s="503" t="s">
        <v>278</v>
      </c>
      <c r="E156" s="508">
        <v>56</v>
      </c>
      <c r="F156" s="504" t="s">
        <v>264</v>
      </c>
      <c r="G156" s="504" t="s">
        <v>249</v>
      </c>
      <c r="H156" s="504" t="s">
        <v>240</v>
      </c>
      <c r="I156" s="504" t="s">
        <v>244</v>
      </c>
      <c r="J156" s="504" t="s">
        <v>243</v>
      </c>
      <c r="K156" s="179" t="str">
        <f>IF(ISBLANK(E156),"ručně doplnit",IF(E156="-","není ve výkazech",IF(C156="Rozvaha",VLOOKUP(E156,radky_R!$A:$B,2,0),IF(C156="Výsledovka",VLOOKUP(E156,radky_V!A:M,2,0)))))</f>
        <v>Jiné pohledávky</v>
      </c>
      <c r="R156" s="179" t="str">
        <f>IF(ISBLANK(L156),"není alternativa",IF(L156="-","není ve výkazech",VLOOKUP(L156,radky_R!$A:$B,2,0)))</f>
        <v>není alternativa</v>
      </c>
      <c r="S156" s="189" t="s">
        <v>253</v>
      </c>
      <c r="T156" s="189" t="s">
        <v>634</v>
      </c>
    </row>
    <row r="157" spans="1:20" x14ac:dyDescent="0.2">
      <c r="A157" s="196">
        <v>377</v>
      </c>
      <c r="B157" s="189" t="s">
        <v>105</v>
      </c>
      <c r="C157" s="189" t="s">
        <v>342</v>
      </c>
      <c r="D157" s="503" t="s">
        <v>290</v>
      </c>
      <c r="E157" s="508">
        <v>140</v>
      </c>
      <c r="F157" s="504" t="s">
        <v>264</v>
      </c>
      <c r="G157" s="504" t="s">
        <v>249</v>
      </c>
      <c r="H157" s="504" t="s">
        <v>247</v>
      </c>
      <c r="I157" s="504" t="s">
        <v>246</v>
      </c>
      <c r="J157" s="504"/>
      <c r="K157" s="179" t="str">
        <f>IF(ISBLANK(E157),"ručně doplnit",IF(E157="-","není ve výkazech",IF(C157="Rozvaha",VLOOKUP(E157,radky_R!$A:$B,2,0),IF(C157="Výsledovka",VLOOKUP(E157,radky_V!A:M,2,0)))))</f>
        <v>Jiné závazky</v>
      </c>
      <c r="R157" s="179" t="str">
        <f>IF(ISBLANK(L157),"není alternativa",IF(L157="-","není ve výkazech",VLOOKUP(L157,radky_R!$A:$B,2,0)))</f>
        <v>není alternativa</v>
      </c>
      <c r="S157" s="189" t="s">
        <v>253</v>
      </c>
      <c r="T157" s="189" t="s">
        <v>634</v>
      </c>
    </row>
    <row r="158" spans="1:20" x14ac:dyDescent="0.2">
      <c r="A158" s="196">
        <v>377</v>
      </c>
      <c r="B158" s="189" t="s">
        <v>105</v>
      </c>
      <c r="C158" s="189" t="s">
        <v>342</v>
      </c>
      <c r="D158" s="503" t="s">
        <v>290</v>
      </c>
      <c r="E158" s="508">
        <v>122</v>
      </c>
      <c r="F158" s="504" t="s">
        <v>264</v>
      </c>
      <c r="G158" s="504" t="s">
        <v>239</v>
      </c>
      <c r="H158" s="504" t="s">
        <v>250</v>
      </c>
      <c r="I158" s="504" t="s">
        <v>242</v>
      </c>
      <c r="J158" s="504"/>
      <c r="K158" s="179" t="str">
        <f>IF(ISBLANK(E158),"ručně doplnit",IF(E158="-","není ve výkazech",IF(C158="Rozvaha",VLOOKUP(E158,radky_R!$A:$B,2,0),IF(C158="Výsledovka",VLOOKUP(E158,radky_V!A:M,2,0)))))</f>
        <v>Jiné závazky</v>
      </c>
      <c r="R158" s="179" t="str">
        <f>IF(ISBLANK(L158),"není alternativa",IF(L158="-","není ve výkazech",VLOOKUP(L158,radky_R!$A:$B,2,0)))</f>
        <v>není alternativa</v>
      </c>
      <c r="S158" s="189" t="s">
        <v>253</v>
      </c>
      <c r="T158" s="189" t="s">
        <v>634</v>
      </c>
    </row>
    <row r="159" spans="1:20" x14ac:dyDescent="0.2">
      <c r="A159" s="196">
        <v>378</v>
      </c>
      <c r="B159" s="189" t="s">
        <v>106</v>
      </c>
      <c r="C159" s="189" t="s">
        <v>342</v>
      </c>
      <c r="D159" s="503" t="s">
        <v>278</v>
      </c>
      <c r="E159" s="508">
        <v>67</v>
      </c>
      <c r="F159" s="504" t="s">
        <v>264</v>
      </c>
      <c r="G159" s="504" t="s">
        <v>249</v>
      </c>
      <c r="H159" s="504" t="s">
        <v>241</v>
      </c>
      <c r="I159" s="504" t="s">
        <v>243</v>
      </c>
      <c r="J159" s="504" t="s">
        <v>245</v>
      </c>
      <c r="K159" s="179" t="str">
        <f>IF(ISBLANK(E159),"ručně doplnit",IF(E159="-","není ve výkazech",IF(C159="Rozvaha",VLOOKUP(E159,radky_R!$A:$B,2,0),IF(C159="Výsledovka",VLOOKUP(E159,radky_V!A:M,2,0)))))</f>
        <v>Jiné pohledávky</v>
      </c>
      <c r="R159" s="179" t="str">
        <f>IF(ISBLANK(L159),"není alternativa",IF(L159="-","není ve výkazech",VLOOKUP(L159,radky_R!$A:$B,2,0)))</f>
        <v>není alternativa</v>
      </c>
      <c r="S159" s="189" t="s">
        <v>253</v>
      </c>
      <c r="T159" s="189" t="s">
        <v>634</v>
      </c>
    </row>
    <row r="160" spans="1:20" x14ac:dyDescent="0.2">
      <c r="A160" s="196">
        <v>378</v>
      </c>
      <c r="B160" s="189" t="s">
        <v>106</v>
      </c>
      <c r="C160" s="189" t="s">
        <v>342</v>
      </c>
      <c r="D160" s="503" t="s">
        <v>278</v>
      </c>
      <c r="E160" s="508">
        <v>56</v>
      </c>
      <c r="F160" s="504" t="s">
        <v>264</v>
      </c>
      <c r="G160" s="504" t="s">
        <v>249</v>
      </c>
      <c r="H160" s="504" t="s">
        <v>240</v>
      </c>
      <c r="I160" s="504" t="s">
        <v>244</v>
      </c>
      <c r="J160" s="504" t="s">
        <v>243</v>
      </c>
      <c r="K160" s="179" t="str">
        <f>IF(ISBLANK(E160),"ručně doplnit",IF(E160="-","není ve výkazech",IF(C160="Rozvaha",VLOOKUP(E160,radky_R!$A:$B,2,0),IF(C160="Výsledovka",VLOOKUP(E160,radky_V!A:M,2,0)))))</f>
        <v>Jiné pohledávky</v>
      </c>
      <c r="R160" s="179" t="str">
        <f>IF(ISBLANK(L160),"není alternativa",IF(L160="-","není ve výkazech",VLOOKUP(L160,radky_R!$A:$B,2,0)))</f>
        <v>není alternativa</v>
      </c>
      <c r="S160" s="189" t="s">
        <v>253</v>
      </c>
      <c r="T160" s="189" t="s">
        <v>634</v>
      </c>
    </row>
    <row r="161" spans="1:20" x14ac:dyDescent="0.2">
      <c r="A161" s="196">
        <v>379</v>
      </c>
      <c r="B161" s="189" t="s">
        <v>779</v>
      </c>
      <c r="C161" s="189" t="s">
        <v>342</v>
      </c>
      <c r="D161" s="503" t="s">
        <v>290</v>
      </c>
      <c r="E161" s="508">
        <v>140</v>
      </c>
      <c r="F161" s="504" t="s">
        <v>264</v>
      </c>
      <c r="G161" s="504" t="s">
        <v>249</v>
      </c>
      <c r="H161" s="504" t="s">
        <v>247</v>
      </c>
      <c r="I161" s="504" t="s">
        <v>246</v>
      </c>
      <c r="J161" s="504"/>
      <c r="K161" s="179" t="str">
        <f>IF(ISBLANK(E161),"ručně doplnit",IF(E161="-","není ve výkazech",IF(C161="Rozvaha",VLOOKUP(E161,radky_R!$A:$B,2,0),IF(C161="Výsledovka",VLOOKUP(E161,radky_V!A:M,2,0)))))</f>
        <v>Jiné závazky</v>
      </c>
      <c r="R161" s="179" t="str">
        <f>IF(ISBLANK(L161),"není alternativa",IF(L161="-","není ve výkazech",VLOOKUP(L161,radky_R!$A:$B,2,0)))</f>
        <v>není alternativa</v>
      </c>
      <c r="S161" s="189" t="s">
        <v>253</v>
      </c>
      <c r="T161" s="189" t="s">
        <v>634</v>
      </c>
    </row>
    <row r="162" spans="1:20" x14ac:dyDescent="0.2">
      <c r="A162" s="196">
        <v>379</v>
      </c>
      <c r="B162" s="189" t="s">
        <v>779</v>
      </c>
      <c r="C162" s="189" t="s">
        <v>342</v>
      </c>
      <c r="D162" s="503" t="s">
        <v>290</v>
      </c>
      <c r="E162" s="508">
        <v>122</v>
      </c>
      <c r="F162" s="504" t="s">
        <v>264</v>
      </c>
      <c r="G162" s="504" t="s">
        <v>239</v>
      </c>
      <c r="H162" s="504" t="s">
        <v>250</v>
      </c>
      <c r="I162" s="504" t="s">
        <v>242</v>
      </c>
      <c r="J162" s="504"/>
      <c r="K162" s="179" t="str">
        <f>IF(ISBLANK(E162),"ručně doplnit",IF(E162="-","není ve výkazech",IF(C162="Rozvaha",VLOOKUP(E162,radky_R!$A:$B,2,0),IF(C162="Výsledovka",VLOOKUP(E162,radky_V!A:M,2,0)))))</f>
        <v>Jiné závazky</v>
      </c>
      <c r="R162" s="179" t="str">
        <f>IF(ISBLANK(L162),"není alternativa",IF(L162="-","není ve výkazech",VLOOKUP(L162,radky_R!$A:$B,2,0)))</f>
        <v>není alternativa</v>
      </c>
      <c r="S162" s="189" t="s">
        <v>253</v>
      </c>
      <c r="T162" s="189" t="s">
        <v>634</v>
      </c>
    </row>
    <row r="163" spans="1:20" x14ac:dyDescent="0.2">
      <c r="A163" s="196">
        <v>381</v>
      </c>
      <c r="B163" s="189" t="s">
        <v>108</v>
      </c>
      <c r="C163" s="189" t="s">
        <v>342</v>
      </c>
      <c r="D163" s="503" t="s">
        <v>278</v>
      </c>
      <c r="E163" s="508">
        <v>75</v>
      </c>
      <c r="F163" s="504" t="s">
        <v>273</v>
      </c>
      <c r="G163" s="504" t="s">
        <v>240</v>
      </c>
      <c r="H163" s="504"/>
      <c r="I163" s="504"/>
      <c r="J163" s="504"/>
      <c r="K163" s="179" t="str">
        <f>IF(ISBLANK(E163),"ručně doplnit",IF(E163="-","není ve výkazech",IF(C163="Rozvaha",VLOOKUP(E163,radky_R!$A:$B,2,0),IF(C163="Výsledovka",VLOOKUP(E163,radky_V!A:M,2,0)))))</f>
        <v xml:space="preserve">Náklady příštích období </v>
      </c>
      <c r="R163" s="179" t="str">
        <f>IF(ISBLANK(L163),"není alternativa",IF(L163="-","není ve výkazech",VLOOKUP(L163,radky_R!$A:$B,2,0)))</f>
        <v>není alternativa</v>
      </c>
      <c r="S163" s="189" t="s">
        <v>253</v>
      </c>
      <c r="T163" s="189" t="s">
        <v>633</v>
      </c>
    </row>
    <row r="164" spans="1:20" x14ac:dyDescent="0.2">
      <c r="A164" s="196">
        <v>382</v>
      </c>
      <c r="B164" s="189" t="s">
        <v>109</v>
      </c>
      <c r="C164" s="189" t="s">
        <v>342</v>
      </c>
      <c r="D164" s="503" t="s">
        <v>278</v>
      </c>
      <c r="E164" s="508">
        <v>76</v>
      </c>
      <c r="F164" s="504" t="s">
        <v>273</v>
      </c>
      <c r="G164" s="504" t="s">
        <v>241</v>
      </c>
      <c r="H164" s="504"/>
      <c r="I164" s="504"/>
      <c r="J164" s="504"/>
      <c r="K164" s="179" t="str">
        <f>IF(ISBLANK(E164),"ručně doplnit",IF(E164="-","není ve výkazech",IF(C164="Rozvaha",VLOOKUP(E164,radky_R!$A:$B,2,0),IF(C164="Výsledovka",VLOOKUP(E164,radky_V!A:M,2,0)))))</f>
        <v>Komplexní náklady příštích období</v>
      </c>
      <c r="R164" s="179" t="str">
        <f>IF(ISBLANK(L164),"není alternativa",IF(L164="-","není ve výkazech",VLOOKUP(L164,radky_R!$A:$B,2,0)))</f>
        <v>není alternativa</v>
      </c>
      <c r="S164" s="189" t="s">
        <v>253</v>
      </c>
      <c r="T164" s="189" t="s">
        <v>637</v>
      </c>
    </row>
    <row r="165" spans="1:20" x14ac:dyDescent="0.2">
      <c r="A165" s="196">
        <v>383</v>
      </c>
      <c r="B165" s="189" t="s">
        <v>110</v>
      </c>
      <c r="C165" s="189" t="s">
        <v>342</v>
      </c>
      <c r="D165" s="503" t="s">
        <v>290</v>
      </c>
      <c r="E165" s="508">
        <v>142</v>
      </c>
      <c r="F165" s="504" t="s">
        <v>273</v>
      </c>
      <c r="G165" s="504" t="s">
        <v>240</v>
      </c>
      <c r="H165" s="504"/>
      <c r="I165" s="504"/>
      <c r="J165" s="504"/>
      <c r="K165" s="179" t="str">
        <f>IF(ISBLANK(E165),"ručně doplnit",IF(E165="-","není ve výkazech",IF(C165="Rozvaha",VLOOKUP(E165,radky_R!$A:$B,2,0),IF(C165="Výsledovka",VLOOKUP(E165,radky_V!A:M,2,0)))))</f>
        <v>Výdaje příštích období</v>
      </c>
      <c r="R165" s="179" t="str">
        <f>IF(ISBLANK(L165),"není alternativa",IF(L165="-","není ve výkazech",VLOOKUP(L165,radky_R!$A:$B,2,0)))</f>
        <v>není alternativa</v>
      </c>
      <c r="S165" s="189" t="s">
        <v>253</v>
      </c>
      <c r="T165" s="189" t="s">
        <v>637</v>
      </c>
    </row>
    <row r="166" spans="1:20" x14ac:dyDescent="0.2">
      <c r="A166" s="196">
        <v>384</v>
      </c>
      <c r="B166" s="189" t="s">
        <v>111</v>
      </c>
      <c r="C166" s="189" t="s">
        <v>342</v>
      </c>
      <c r="D166" s="503" t="s">
        <v>290</v>
      </c>
      <c r="E166" s="508">
        <v>143</v>
      </c>
      <c r="F166" s="504" t="s">
        <v>273</v>
      </c>
      <c r="G166" s="504" t="s">
        <v>241</v>
      </c>
      <c r="H166" s="504"/>
      <c r="I166" s="504"/>
      <c r="J166" s="504"/>
      <c r="K166" s="179" t="str">
        <f>IF(ISBLANK(E166),"ručně doplnit",IF(E166="-","není ve výkazech",IF(C166="Rozvaha",VLOOKUP(E166,radky_R!$A:$B,2,0),IF(C166="Výsledovka",VLOOKUP(E166,radky_V!A:M,2,0)))))</f>
        <v xml:space="preserve">Výnosy příštích období </v>
      </c>
      <c r="R166" s="179" t="str">
        <f>IF(ISBLANK(L166),"není alternativa",IF(L166="-","není ve výkazech",VLOOKUP(L166,radky_R!$A:$B,2,0)))</f>
        <v>není alternativa</v>
      </c>
      <c r="S166" s="189" t="s">
        <v>253</v>
      </c>
      <c r="T166" s="189" t="s">
        <v>636</v>
      </c>
    </row>
    <row r="167" spans="1:20" x14ac:dyDescent="0.2">
      <c r="A167" s="196">
        <v>385</v>
      </c>
      <c r="B167" s="189" t="s">
        <v>112</v>
      </c>
      <c r="C167" s="189" t="s">
        <v>342</v>
      </c>
      <c r="D167" s="503" t="s">
        <v>278</v>
      </c>
      <c r="E167" s="508">
        <v>77</v>
      </c>
      <c r="F167" s="504" t="s">
        <v>273</v>
      </c>
      <c r="G167" s="504" t="s">
        <v>242</v>
      </c>
      <c r="H167" s="504"/>
      <c r="I167" s="504"/>
      <c r="J167" s="504"/>
      <c r="K167" s="179" t="str">
        <f>IF(ISBLANK(E167),"ručně doplnit",IF(E167="-","není ve výkazech",IF(C167="Rozvaha",VLOOKUP(E167,radky_R!$A:$B,2,0),IF(C167="Výsledovka",VLOOKUP(E167,radky_V!A:M,2,0)))))</f>
        <v>Příjmy příštích období</v>
      </c>
      <c r="R167" s="179" t="str">
        <f>IF(ISBLANK(L167),"není alternativa",IF(L167="-","není ve výkazech",VLOOKUP(L167,radky_R!$A:$B,2,0)))</f>
        <v>není alternativa</v>
      </c>
      <c r="S167" s="189" t="s">
        <v>253</v>
      </c>
      <c r="T167" s="189" t="s">
        <v>636</v>
      </c>
    </row>
    <row r="168" spans="1:20" x14ac:dyDescent="0.2">
      <c r="A168" s="196">
        <v>388</v>
      </c>
      <c r="B168" s="189" t="s">
        <v>113</v>
      </c>
      <c r="C168" s="189" t="s">
        <v>342</v>
      </c>
      <c r="D168" s="503" t="s">
        <v>278</v>
      </c>
      <c r="E168" s="508">
        <v>66</v>
      </c>
      <c r="F168" s="504" t="s">
        <v>264</v>
      </c>
      <c r="G168" s="504" t="s">
        <v>249</v>
      </c>
      <c r="H168" s="504" t="s">
        <v>241</v>
      </c>
      <c r="I168" s="504" t="s">
        <v>243</v>
      </c>
      <c r="J168" s="504" t="s">
        <v>244</v>
      </c>
      <c r="K168" s="179" t="str">
        <f>IF(ISBLANK(E168),"ručně doplnit",IF(E168="-","není ve výkazech",IF(C168="Rozvaha",VLOOKUP(E168,radky_R!$A:$B,2,0),IF(C168="Výsledovka",VLOOKUP(E168,radky_V!A:M,2,0)))))</f>
        <v>Dohadné účty aktivní</v>
      </c>
      <c r="R168" s="179" t="str">
        <f>IF(ISBLANK(L168),"není alternativa",IF(L168="-","není ve výkazech",VLOOKUP(L168,radky_R!$A:$B,2,0)))</f>
        <v>není alternativa</v>
      </c>
      <c r="S168" s="189" t="s">
        <v>253</v>
      </c>
      <c r="T168" s="189" t="s">
        <v>636</v>
      </c>
    </row>
    <row r="169" spans="1:20" x14ac:dyDescent="0.2">
      <c r="A169" s="196">
        <v>388</v>
      </c>
      <c r="B169" s="189" t="s">
        <v>113</v>
      </c>
      <c r="C169" s="189" t="s">
        <v>342</v>
      </c>
      <c r="D169" s="503" t="s">
        <v>278</v>
      </c>
      <c r="E169" s="508">
        <v>55</v>
      </c>
      <c r="F169" s="504" t="s">
        <v>264</v>
      </c>
      <c r="G169" s="504" t="s">
        <v>249</v>
      </c>
      <c r="H169" s="504" t="s">
        <v>240</v>
      </c>
      <c r="I169" s="504" t="s">
        <v>244</v>
      </c>
      <c r="J169" s="504" t="s">
        <v>242</v>
      </c>
      <c r="K169" s="179" t="str">
        <f>IF(ISBLANK(E169),"ručně doplnit",IF(E169="-","není ve výkazech",IF(C169="Rozvaha",VLOOKUP(E169,radky_R!$A:$B,2,0),IF(C169="Výsledovka",VLOOKUP(E169,radky_V!A:M,2,0)))))</f>
        <v>Dohadné účty aktivní</v>
      </c>
      <c r="R169" s="179" t="str">
        <f>IF(ISBLANK(L169),"není alternativa",IF(L169="-","není ve výkazech",VLOOKUP(L169,radky_R!$A:$B,2,0)))</f>
        <v>není alternativa</v>
      </c>
      <c r="S169" s="189" t="s">
        <v>253</v>
      </c>
      <c r="T169" s="189" t="s">
        <v>636</v>
      </c>
    </row>
    <row r="170" spans="1:20" x14ac:dyDescent="0.2">
      <c r="A170" s="196">
        <v>389</v>
      </c>
      <c r="B170" s="189" t="s">
        <v>114</v>
      </c>
      <c r="C170" s="189" t="s">
        <v>342</v>
      </c>
      <c r="D170" s="503" t="s">
        <v>290</v>
      </c>
      <c r="E170" s="508">
        <v>139</v>
      </c>
      <c r="F170" s="504" t="s">
        <v>264</v>
      </c>
      <c r="G170" s="504" t="s">
        <v>249</v>
      </c>
      <c r="H170" s="504" t="s">
        <v>247</v>
      </c>
      <c r="I170" s="504" t="s">
        <v>245</v>
      </c>
      <c r="J170" s="504"/>
      <c r="K170" s="179" t="str">
        <f>IF(ISBLANK(E170),"ručně doplnit",IF(E170="-","není ve výkazech",IF(C170="Rozvaha",VLOOKUP(E170,radky_R!$A:$B,2,0),IF(C170="Výsledovka",VLOOKUP(E170,radky_V!A:M,2,0)))))</f>
        <v xml:space="preserve">Dohadné účty pasivní </v>
      </c>
      <c r="R170" s="179" t="str">
        <f>IF(ISBLANK(L170),"není alternativa",IF(L170="-","není ve výkazech",VLOOKUP(L170,radky_R!$A:$B,2,0)))</f>
        <v>není alternativa</v>
      </c>
      <c r="S170" s="189" t="s">
        <v>253</v>
      </c>
      <c r="T170" s="189" t="s">
        <v>637</v>
      </c>
    </row>
    <row r="171" spans="1:20" x14ac:dyDescent="0.2">
      <c r="A171" s="196">
        <v>389</v>
      </c>
      <c r="B171" s="189" t="s">
        <v>114</v>
      </c>
      <c r="C171" s="189" t="s">
        <v>342</v>
      </c>
      <c r="D171" s="503" t="s">
        <v>290</v>
      </c>
      <c r="E171" s="508">
        <v>121</v>
      </c>
      <c r="F171" s="504" t="s">
        <v>264</v>
      </c>
      <c r="G171" s="504" t="s">
        <v>239</v>
      </c>
      <c r="H171" s="504" t="s">
        <v>250</v>
      </c>
      <c r="I171" s="504" t="s">
        <v>241</v>
      </c>
      <c r="J171" s="504"/>
      <c r="K171" s="179" t="str">
        <f>IF(ISBLANK(E171),"ručně doplnit",IF(E171="-","není ve výkazech",IF(C171="Rozvaha",VLOOKUP(E171,radky_R!$A:$B,2,0),IF(C171="Výsledovka",VLOOKUP(E171,radky_V!A:M,2,0)))))</f>
        <v>Dohadné účty pasívní</v>
      </c>
      <c r="R171" s="179" t="str">
        <f>IF(ISBLANK(L171),"není alternativa",IF(L171="-","není ve výkazech",VLOOKUP(L171,radky_R!$A:$B,2,0)))</f>
        <v>není alternativa</v>
      </c>
      <c r="S171" s="189" t="s">
        <v>253</v>
      </c>
      <c r="T171" s="189" t="s">
        <v>637</v>
      </c>
    </row>
    <row r="172" spans="1:20" x14ac:dyDescent="0.2">
      <c r="A172" s="196">
        <v>391</v>
      </c>
      <c r="B172" s="189" t="s">
        <v>115</v>
      </c>
      <c r="C172" s="189" t="s">
        <v>342</v>
      </c>
      <c r="D172" s="503" t="s">
        <v>278</v>
      </c>
      <c r="E172" s="508">
        <v>58</v>
      </c>
      <c r="F172" s="504" t="s">
        <v>264</v>
      </c>
      <c r="G172" s="504" t="s">
        <v>249</v>
      </c>
      <c r="H172" s="504" t="s">
        <v>241</v>
      </c>
      <c r="I172" s="504" t="s">
        <v>240</v>
      </c>
      <c r="J172" s="504"/>
      <c r="K172" s="179" t="str">
        <f>IF(ISBLANK(E172),"ručně doplnit",IF(E172="-","není ve výkazech",IF(C172="Rozvaha",VLOOKUP(E172,radky_R!$A:$B,2,0),IF(C172="Výsledovka",VLOOKUP(E172,radky_V!A:M,2,0)))))</f>
        <v>Pohledávky z obchodních vztahů</v>
      </c>
      <c r="R172" s="179" t="str">
        <f>IF(ISBLANK(L172),"není alternativa",IF(L172="-","není ve výkazech",VLOOKUP(L172,radky_R!$A:$B,2,0)))</f>
        <v>není alternativa</v>
      </c>
      <c r="S172" s="189" t="s">
        <v>255</v>
      </c>
      <c r="T172" s="189" t="s">
        <v>636</v>
      </c>
    </row>
    <row r="173" spans="1:20" x14ac:dyDescent="0.2">
      <c r="A173" s="196">
        <v>391</v>
      </c>
      <c r="B173" s="189" t="s">
        <v>115</v>
      </c>
      <c r="C173" s="189" t="s">
        <v>342</v>
      </c>
      <c r="D173" s="503" t="s">
        <v>278</v>
      </c>
      <c r="E173" s="508">
        <v>59</v>
      </c>
      <c r="F173" s="504" t="s">
        <v>264</v>
      </c>
      <c r="G173" s="504" t="s">
        <v>249</v>
      </c>
      <c r="H173" s="504" t="s">
        <v>241</v>
      </c>
      <c r="I173" s="504" t="s">
        <v>241</v>
      </c>
      <c r="J173" s="504"/>
      <c r="K173" s="179" t="str">
        <f>IF(ISBLANK(E173),"ručně doplnit",IF(E173="-","není ve výkazech",IF(C173="Rozvaha",VLOOKUP(E173,radky_R!$A:$B,2,0),IF(C173="Výsledovka",VLOOKUP(E173,radky_V!A:M,2,0)))))</f>
        <v>Pohledávky - ovládaná nebo ovládající osoba</v>
      </c>
      <c r="R173" s="179" t="str">
        <f>IF(ISBLANK(L173),"není alternativa",IF(L173="-","není ve výkazech",VLOOKUP(L173,radky_R!$A:$B,2,0)))</f>
        <v>není alternativa</v>
      </c>
      <c r="S173" s="189" t="s">
        <v>255</v>
      </c>
      <c r="T173" s="189" t="s">
        <v>636</v>
      </c>
    </row>
    <row r="174" spans="1:20" x14ac:dyDescent="0.2">
      <c r="A174" s="196">
        <v>391</v>
      </c>
      <c r="B174" s="189" t="s">
        <v>115</v>
      </c>
      <c r="C174" s="189" t="s">
        <v>342</v>
      </c>
      <c r="D174" s="503" t="s">
        <v>278</v>
      </c>
      <c r="E174" s="508">
        <v>60</v>
      </c>
      <c r="F174" s="504" t="s">
        <v>264</v>
      </c>
      <c r="G174" s="504" t="s">
        <v>249</v>
      </c>
      <c r="H174" s="504" t="s">
        <v>241</v>
      </c>
      <c r="I174" s="504" t="s">
        <v>242</v>
      </c>
      <c r="J174" s="504"/>
      <c r="K174" s="179" t="str">
        <f>IF(ISBLANK(E174),"ručně doplnit",IF(E174="-","není ve výkazech",IF(C174="Rozvaha",VLOOKUP(E174,radky_R!$A:$B,2,0),IF(C174="Výsledovka",VLOOKUP(E174,radky_V!A:M,2,0)))))</f>
        <v>Pohledávky - podstatný vliv</v>
      </c>
      <c r="R174" s="179" t="str">
        <f>IF(ISBLANK(L174),"není alternativa",IF(L174="-","není ve výkazech",VLOOKUP(L174,radky_R!$A:$B,2,0)))</f>
        <v>není alternativa</v>
      </c>
      <c r="S174" s="189" t="s">
        <v>255</v>
      </c>
      <c r="T174" s="189" t="s">
        <v>636</v>
      </c>
    </row>
    <row r="175" spans="1:20" x14ac:dyDescent="0.2">
      <c r="A175" s="196">
        <v>391</v>
      </c>
      <c r="B175" s="189" t="s">
        <v>115</v>
      </c>
      <c r="C175" s="189" t="s">
        <v>342</v>
      </c>
      <c r="D175" s="503" t="s">
        <v>278</v>
      </c>
      <c r="E175" s="508">
        <v>62</v>
      </c>
      <c r="F175" s="504" t="s">
        <v>264</v>
      </c>
      <c r="G175" s="504" t="s">
        <v>249</v>
      </c>
      <c r="H175" s="504" t="s">
        <v>241</v>
      </c>
      <c r="I175" s="504" t="s">
        <v>243</v>
      </c>
      <c r="J175" s="504" t="s">
        <v>240</v>
      </c>
      <c r="K175" s="179" t="str">
        <f>IF(ISBLANK(E175),"ručně doplnit",IF(E175="-","není ve výkazech",IF(C175="Rozvaha",VLOOKUP(E175,radky_R!$A:$B,2,0),IF(C175="Výsledovka",VLOOKUP(E175,radky_V!A:M,2,0)))))</f>
        <v>Pohledávky za společníky</v>
      </c>
      <c r="R175" s="179" t="str">
        <f>IF(ISBLANK(L175),"není alternativa",IF(L175="-","není ve výkazech",VLOOKUP(L175,radky_R!$A:$B,2,0)))</f>
        <v>není alternativa</v>
      </c>
      <c r="S175" s="189" t="s">
        <v>255</v>
      </c>
      <c r="T175" s="189" t="s">
        <v>636</v>
      </c>
    </row>
    <row r="176" spans="1:20" x14ac:dyDescent="0.2">
      <c r="A176" s="196">
        <v>391</v>
      </c>
      <c r="B176" s="189" t="s">
        <v>115</v>
      </c>
      <c r="C176" s="189" t="s">
        <v>342</v>
      </c>
      <c r="D176" s="503" t="s">
        <v>278</v>
      </c>
      <c r="E176" s="508">
        <v>63</v>
      </c>
      <c r="F176" s="504" t="s">
        <v>264</v>
      </c>
      <c r="G176" s="504" t="s">
        <v>249</v>
      </c>
      <c r="H176" s="504" t="s">
        <v>241</v>
      </c>
      <c r="I176" s="504" t="s">
        <v>243</v>
      </c>
      <c r="J176" s="504" t="s">
        <v>241</v>
      </c>
      <c r="K176" s="179" t="str">
        <f>IF(ISBLANK(E176),"ručně doplnit",IF(E176="-","není ve výkazech",IF(C176="Rozvaha",VLOOKUP(E176,radky_R!$A:$B,2,0),IF(C176="Výsledovka",VLOOKUP(E176,radky_V!A:M,2,0)))))</f>
        <v>Sociální zabezpečení a zdravotní pojištění</v>
      </c>
      <c r="R176" s="179" t="str">
        <f>IF(ISBLANK(L176),"není alternativa",IF(L176="-","není ve výkazech",VLOOKUP(L176,radky_R!$A:$B,2,0)))</f>
        <v>není alternativa</v>
      </c>
      <c r="S176" s="189" t="s">
        <v>255</v>
      </c>
      <c r="T176" s="189" t="s">
        <v>636</v>
      </c>
    </row>
    <row r="177" spans="1:20" x14ac:dyDescent="0.2">
      <c r="A177" s="196">
        <v>391</v>
      </c>
      <c r="B177" s="189" t="s">
        <v>115</v>
      </c>
      <c r="C177" s="189" t="s">
        <v>342</v>
      </c>
      <c r="D177" s="503" t="s">
        <v>278</v>
      </c>
      <c r="E177" s="508">
        <v>64</v>
      </c>
      <c r="F177" s="504" t="s">
        <v>264</v>
      </c>
      <c r="G177" s="504" t="s">
        <v>249</v>
      </c>
      <c r="H177" s="504" t="s">
        <v>241</v>
      </c>
      <c r="I177" s="504" t="s">
        <v>243</v>
      </c>
      <c r="J177" s="504" t="s">
        <v>242</v>
      </c>
      <c r="K177" s="179" t="str">
        <f>IF(ISBLANK(E177),"ručně doplnit",IF(E177="-","není ve výkazech",IF(C177="Rozvaha",VLOOKUP(E177,radky_R!$A:$B,2,0),IF(C177="Výsledovka",VLOOKUP(E177,radky_V!A:M,2,0)))))</f>
        <v>Stát - daňové pohledávky</v>
      </c>
      <c r="R177" s="179" t="str">
        <f>IF(ISBLANK(L177),"není alternativa",IF(L177="-","není ve výkazech",VLOOKUP(L177,radky_R!$A:$B,2,0)))</f>
        <v>není alternativa</v>
      </c>
      <c r="S177" s="189" t="s">
        <v>255</v>
      </c>
      <c r="T177" s="189" t="s">
        <v>636</v>
      </c>
    </row>
    <row r="178" spans="1:20" x14ac:dyDescent="0.2">
      <c r="A178" s="196">
        <v>391</v>
      </c>
      <c r="B178" s="189" t="s">
        <v>115</v>
      </c>
      <c r="C178" s="189" t="s">
        <v>342</v>
      </c>
      <c r="D178" s="503" t="s">
        <v>278</v>
      </c>
      <c r="E178" s="508">
        <v>65</v>
      </c>
      <c r="F178" s="504" t="s">
        <v>264</v>
      </c>
      <c r="G178" s="504" t="s">
        <v>249</v>
      </c>
      <c r="H178" s="504" t="s">
        <v>241</v>
      </c>
      <c r="I178" s="504" t="s">
        <v>243</v>
      </c>
      <c r="J178" s="504" t="s">
        <v>243</v>
      </c>
      <c r="K178" s="179" t="str">
        <f>IF(ISBLANK(E178),"ručně doplnit",IF(E178="-","není ve výkazech",IF(C178="Rozvaha",VLOOKUP(E178,radky_R!$A:$B,2,0),IF(C178="Výsledovka",VLOOKUP(E178,radky_V!A:M,2,0)))))</f>
        <v>Krátkodobé poskytnuté zálohy</v>
      </c>
      <c r="R178" s="179" t="str">
        <f>IF(ISBLANK(L178),"není alternativa",IF(L178="-","není ve výkazech",VLOOKUP(L178,radky_R!$A:$B,2,0)))</f>
        <v>není alternativa</v>
      </c>
      <c r="S178" s="189" t="s">
        <v>255</v>
      </c>
      <c r="T178" s="189" t="s">
        <v>636</v>
      </c>
    </row>
    <row r="179" spans="1:20" x14ac:dyDescent="0.2">
      <c r="A179" s="196">
        <v>391</v>
      </c>
      <c r="B179" s="189" t="s">
        <v>115</v>
      </c>
      <c r="C179" s="189" t="s">
        <v>342</v>
      </c>
      <c r="D179" s="503" t="s">
        <v>278</v>
      </c>
      <c r="E179" s="508">
        <v>67</v>
      </c>
      <c r="F179" s="504" t="s">
        <v>264</v>
      </c>
      <c r="G179" s="504" t="s">
        <v>249</v>
      </c>
      <c r="H179" s="504" t="s">
        <v>241</v>
      </c>
      <c r="I179" s="504" t="s">
        <v>243</v>
      </c>
      <c r="J179" s="504" t="s">
        <v>245</v>
      </c>
      <c r="K179" s="179" t="str">
        <f>IF(ISBLANK(E179),"ručně doplnit",IF(E179="-","není ve výkazech",IF(C179="Rozvaha",VLOOKUP(E179,radky_R!$A:$B,2,0),IF(C179="Výsledovka",VLOOKUP(E179,radky_V!A:M,2,0)))))</f>
        <v>Jiné pohledávky</v>
      </c>
      <c r="R179" s="179" t="str">
        <f>IF(ISBLANK(L179),"není alternativa",IF(L179="-","není ve výkazech",VLOOKUP(L179,radky_R!$A:$B,2,0)))</f>
        <v>není alternativa</v>
      </c>
      <c r="S179" s="189" t="s">
        <v>255</v>
      </c>
      <c r="T179" s="189" t="s">
        <v>636</v>
      </c>
    </row>
    <row r="180" spans="1:20" x14ac:dyDescent="0.2">
      <c r="A180" s="196">
        <v>391</v>
      </c>
      <c r="B180" s="189" t="s">
        <v>115</v>
      </c>
      <c r="C180" s="189" t="s">
        <v>342</v>
      </c>
      <c r="D180" s="503" t="s">
        <v>278</v>
      </c>
      <c r="E180" s="508">
        <v>48</v>
      </c>
      <c r="F180" s="504" t="s">
        <v>264</v>
      </c>
      <c r="G180" s="504" t="s">
        <v>249</v>
      </c>
      <c r="H180" s="504" t="s">
        <v>240</v>
      </c>
      <c r="I180" s="504" t="s">
        <v>240</v>
      </c>
      <c r="J180" s="504"/>
      <c r="K180" s="179" t="str">
        <f>IF(ISBLANK(E180),"ručně doplnit",IF(E180="-","není ve výkazech",IF(C180="Rozvaha",VLOOKUP(E180,radky_R!$A:$B,2,0),IF(C180="Výsledovka",VLOOKUP(E180,radky_V!A:M,2,0)))))</f>
        <v>Pohledávky z obchodních vztahů</v>
      </c>
      <c r="R180" s="179" t="str">
        <f>IF(ISBLANK(L180),"není alternativa",IF(L180="-","není ve výkazech",VLOOKUP(L180,radky_R!$A:$B,2,0)))</f>
        <v>není alternativa</v>
      </c>
      <c r="S180" s="189" t="s">
        <v>255</v>
      </c>
      <c r="T180" s="189" t="s">
        <v>636</v>
      </c>
    </row>
    <row r="181" spans="1:20" x14ac:dyDescent="0.2">
      <c r="A181" s="196">
        <v>391</v>
      </c>
      <c r="B181" s="189" t="s">
        <v>115</v>
      </c>
      <c r="C181" s="189" t="s">
        <v>342</v>
      </c>
      <c r="D181" s="503" t="s">
        <v>278</v>
      </c>
      <c r="E181" s="508">
        <v>49</v>
      </c>
      <c r="F181" s="504" t="s">
        <v>264</v>
      </c>
      <c r="G181" s="504" t="s">
        <v>249</v>
      </c>
      <c r="H181" s="504" t="s">
        <v>240</v>
      </c>
      <c r="I181" s="504" t="s">
        <v>241</v>
      </c>
      <c r="J181" s="504"/>
      <c r="K181" s="179" t="str">
        <f>IF(ISBLANK(E181),"ručně doplnit",IF(E181="-","není ve výkazech",IF(C181="Rozvaha",VLOOKUP(E181,radky_R!$A:$B,2,0),IF(C181="Výsledovka",VLOOKUP(E181,radky_V!A:M,2,0)))))</f>
        <v>Pohledávky - ovládaná nebo ovládající osoba</v>
      </c>
      <c r="R181" s="179" t="str">
        <f>IF(ISBLANK(L181),"není alternativa",IF(L181="-","není ve výkazech",VLOOKUP(L181,radky_R!$A:$B,2,0)))</f>
        <v>není alternativa</v>
      </c>
      <c r="S181" s="189" t="s">
        <v>255</v>
      </c>
      <c r="T181" s="189" t="s">
        <v>636</v>
      </c>
    </row>
    <row r="182" spans="1:20" x14ac:dyDescent="0.2">
      <c r="A182" s="196">
        <v>391</v>
      </c>
      <c r="B182" s="189" t="s">
        <v>115</v>
      </c>
      <c r="C182" s="189" t="s">
        <v>342</v>
      </c>
      <c r="D182" s="503" t="s">
        <v>278</v>
      </c>
      <c r="E182" s="508">
        <v>50</v>
      </c>
      <c r="F182" s="504" t="s">
        <v>264</v>
      </c>
      <c r="G182" s="504" t="s">
        <v>249</v>
      </c>
      <c r="H182" s="504" t="s">
        <v>240</v>
      </c>
      <c r="I182" s="504" t="s">
        <v>242</v>
      </c>
      <c r="J182" s="504"/>
      <c r="K182" s="179" t="str">
        <f>IF(ISBLANK(E182),"ručně doplnit",IF(E182="-","není ve výkazech",IF(C182="Rozvaha",VLOOKUP(E182,radky_R!$A:$B,2,0),IF(C182="Výsledovka",VLOOKUP(E182,radky_V!A:M,2,0)))))</f>
        <v>Pohledávky - podstatný vliv</v>
      </c>
      <c r="R182" s="179" t="str">
        <f>IF(ISBLANK(L182),"není alternativa",IF(L182="-","není ve výkazech",VLOOKUP(L182,radky_R!$A:$B,2,0)))</f>
        <v>není alternativa</v>
      </c>
      <c r="S182" s="189" t="s">
        <v>255</v>
      </c>
      <c r="T182" s="189" t="s">
        <v>636</v>
      </c>
    </row>
    <row r="183" spans="1:20" x14ac:dyDescent="0.2">
      <c r="A183" s="196">
        <v>391</v>
      </c>
      <c r="B183" s="189" t="s">
        <v>115</v>
      </c>
      <c r="C183" s="189" t="s">
        <v>342</v>
      </c>
      <c r="D183" s="503" t="s">
        <v>278</v>
      </c>
      <c r="E183" s="508">
        <v>53</v>
      </c>
      <c r="F183" s="504" t="s">
        <v>264</v>
      </c>
      <c r="G183" s="504" t="s">
        <v>249</v>
      </c>
      <c r="H183" s="504" t="s">
        <v>240</v>
      </c>
      <c r="I183" s="504" t="s">
        <v>244</v>
      </c>
      <c r="J183" s="504" t="s">
        <v>240</v>
      </c>
      <c r="K183" s="179" t="str">
        <f>IF(ISBLANK(E183),"ručně doplnit",IF(E183="-","není ve výkazech",IF(C183="Rozvaha",VLOOKUP(E183,radky_R!$A:$B,2,0),IF(C183="Výsledovka",VLOOKUP(E183,radky_V!A:M,2,0)))))</f>
        <v>Pohledávky za společníky</v>
      </c>
      <c r="R183" s="179" t="str">
        <f>IF(ISBLANK(L183),"není alternativa",IF(L183="-","není ve výkazech",VLOOKUP(L183,radky_R!$A:$B,2,0)))</f>
        <v>není alternativa</v>
      </c>
      <c r="S183" s="189" t="s">
        <v>255</v>
      </c>
      <c r="T183" s="189" t="s">
        <v>636</v>
      </c>
    </row>
    <row r="184" spans="1:20" x14ac:dyDescent="0.2">
      <c r="A184" s="196">
        <v>391</v>
      </c>
      <c r="B184" s="189" t="s">
        <v>115</v>
      </c>
      <c r="C184" s="189" t="s">
        <v>342</v>
      </c>
      <c r="D184" s="503" t="s">
        <v>278</v>
      </c>
      <c r="E184" s="508">
        <v>54</v>
      </c>
      <c r="F184" s="504" t="s">
        <v>264</v>
      </c>
      <c r="G184" s="504" t="s">
        <v>249</v>
      </c>
      <c r="H184" s="504" t="s">
        <v>240</v>
      </c>
      <c r="I184" s="504" t="s">
        <v>244</v>
      </c>
      <c r="J184" s="504" t="s">
        <v>241</v>
      </c>
      <c r="K184" s="179" t="str">
        <f>IF(ISBLANK(E184),"ručně doplnit",IF(E184="-","není ve výkazech",IF(C184="Rozvaha",VLOOKUP(E184,radky_R!$A:$B,2,0),IF(C184="Výsledovka",VLOOKUP(E184,radky_V!A:M,2,0)))))</f>
        <v>Dlouhodobé poskytnuté zálohy</v>
      </c>
      <c r="R184" s="179" t="str">
        <f>IF(ISBLANK(L184),"není alternativa",IF(L184="-","není ve výkazech",VLOOKUP(L184,radky_R!$A:$B,2,0)))</f>
        <v>není alternativa</v>
      </c>
      <c r="S184" s="189" t="s">
        <v>255</v>
      </c>
      <c r="T184" s="189" t="s">
        <v>636</v>
      </c>
    </row>
    <row r="185" spans="1:20" x14ac:dyDescent="0.2">
      <c r="A185" s="196">
        <v>391</v>
      </c>
      <c r="B185" s="189" t="s">
        <v>115</v>
      </c>
      <c r="C185" s="189" t="s">
        <v>342</v>
      </c>
      <c r="D185" s="503" t="s">
        <v>278</v>
      </c>
      <c r="E185" s="508">
        <v>56</v>
      </c>
      <c r="F185" s="504" t="s">
        <v>264</v>
      </c>
      <c r="G185" s="504" t="s">
        <v>249</v>
      </c>
      <c r="H185" s="504" t="s">
        <v>240</v>
      </c>
      <c r="I185" s="504" t="s">
        <v>244</v>
      </c>
      <c r="J185" s="504" t="s">
        <v>243</v>
      </c>
      <c r="K185" s="179" t="str">
        <f>IF(ISBLANK(E185),"ručně doplnit",IF(E185="-","není ve výkazech",IF(C185="Rozvaha",VLOOKUP(E185,radky_R!$A:$B,2,0),IF(C185="Výsledovka",VLOOKUP(E185,radky_V!A:M,2,0)))))</f>
        <v>Jiné pohledávky</v>
      </c>
      <c r="R185" s="179" t="str">
        <f>IF(ISBLANK(L185),"není alternativa",IF(L185="-","není ve výkazech",VLOOKUP(L185,radky_R!$A:$B,2,0)))</f>
        <v>není alternativa</v>
      </c>
      <c r="S185" s="189" t="s">
        <v>255</v>
      </c>
      <c r="T185" s="189" t="s">
        <v>636</v>
      </c>
    </row>
    <row r="186" spans="1:20" x14ac:dyDescent="0.2">
      <c r="A186" s="196">
        <v>395</v>
      </c>
      <c r="B186" s="189" t="s">
        <v>116</v>
      </c>
      <c r="C186" s="189" t="s">
        <v>342</v>
      </c>
      <c r="D186" s="503" t="s">
        <v>278</v>
      </c>
      <c r="E186" s="508" t="s">
        <v>261</v>
      </c>
      <c r="F186" s="504"/>
      <c r="G186" s="504"/>
      <c r="H186" s="504"/>
      <c r="I186" s="504"/>
      <c r="J186" s="504"/>
      <c r="K186" s="179" t="str">
        <f>IF(ISBLANK(E186),"ručně doplnit",IF(E186="-","není ve výkazech",IF(C186="Rozvaha",VLOOKUP(E186,radky_R!$A:$B,2,0),IF(C186="Výsledovka",VLOOKUP(E186,radky_V!A:M,2,0)))))</f>
        <v>není ve výkazech</v>
      </c>
      <c r="R186" s="179" t="str">
        <f>IF(ISBLANK(L186),"není alternativa",IF(L186="-","není ve výkazech",VLOOKUP(L186,radky_R!$A:$B,2,0)))</f>
        <v>není alternativa</v>
      </c>
      <c r="S186" s="189" t="s">
        <v>253</v>
      </c>
      <c r="T186" s="189" t="s">
        <v>636</v>
      </c>
    </row>
    <row r="187" spans="1:20" x14ac:dyDescent="0.2">
      <c r="A187" s="196">
        <v>398</v>
      </c>
      <c r="B187" s="189" t="s">
        <v>117</v>
      </c>
      <c r="C187" s="189" t="s">
        <v>342</v>
      </c>
      <c r="D187" s="503" t="s">
        <v>317</v>
      </c>
      <c r="E187" s="508">
        <v>62</v>
      </c>
      <c r="F187" s="504" t="s">
        <v>264</v>
      </c>
      <c r="G187" s="504" t="s">
        <v>249</v>
      </c>
      <c r="H187" s="504" t="s">
        <v>241</v>
      </c>
      <c r="I187" s="504" t="s">
        <v>243</v>
      </c>
      <c r="J187" s="504" t="s">
        <v>240</v>
      </c>
      <c r="K187" s="179" t="str">
        <f>IF(ISBLANK(E187),"ručně doplnit",IF(E187="-","není ve výkazech",IF(C187="Rozvaha",VLOOKUP(E187,radky_R!$A:$B,2,0),IF(C187="Výsledovka",VLOOKUP(E187,radky_V!A:M,2,0)))))</f>
        <v>Pohledávky za společníky</v>
      </c>
      <c r="L187" s="508">
        <v>134</v>
      </c>
      <c r="M187" s="504" t="s">
        <v>264</v>
      </c>
      <c r="N187" s="504" t="s">
        <v>249</v>
      </c>
      <c r="O187" s="504" t="s">
        <v>247</v>
      </c>
      <c r="P187" s="504" t="s">
        <v>240</v>
      </c>
      <c r="Q187" s="504"/>
      <c r="R187" s="179" t="str">
        <f>IF(ISBLANK(L187),"není alternativa",IF(L187="-","není ve výkazech",VLOOKUP(L187,radky_R!$A:$B,2,0)))</f>
        <v>Závazky ke společníkům</v>
      </c>
      <c r="S187" s="189" t="s">
        <v>253</v>
      </c>
      <c r="T187" s="189" t="s">
        <v>636</v>
      </c>
    </row>
    <row r="188" spans="1:20" x14ac:dyDescent="0.2">
      <c r="A188" s="196">
        <v>411</v>
      </c>
      <c r="B188" s="189" t="s">
        <v>118</v>
      </c>
      <c r="C188" s="189" t="s">
        <v>342</v>
      </c>
      <c r="D188" s="503" t="s">
        <v>290</v>
      </c>
      <c r="E188" s="508">
        <v>81</v>
      </c>
      <c r="F188" s="504" t="s">
        <v>237</v>
      </c>
      <c r="G188" s="504" t="s">
        <v>239</v>
      </c>
      <c r="H188" s="504" t="s">
        <v>240</v>
      </c>
      <c r="I188" s="504"/>
      <c r="J188" s="504"/>
      <c r="K188" s="179" t="str">
        <f>IF(ISBLANK(E188),"ručně doplnit",IF(E188="-","není ve výkazech",IF(C188="Rozvaha",VLOOKUP(E188,radky_R!$A:$B,2,0),IF(C188="Výsledovka",VLOOKUP(E188,radky_V!A:M,2,0)))))</f>
        <v>Základní kapitál</v>
      </c>
      <c r="R188" s="179" t="str">
        <f>IF(ISBLANK(L188),"není alternativa",IF(L188="-","není ve výkazech",VLOOKUP(L188,radky_R!$A:$B,2,0)))</f>
        <v>není alternativa</v>
      </c>
      <c r="S188" s="189" t="s">
        <v>253</v>
      </c>
      <c r="T188" s="189" t="s">
        <v>634</v>
      </c>
    </row>
    <row r="189" spans="1:20" x14ac:dyDescent="0.2">
      <c r="A189" s="196">
        <v>412</v>
      </c>
      <c r="B189" s="189" t="s">
        <v>119</v>
      </c>
      <c r="C189" s="189" t="s">
        <v>342</v>
      </c>
      <c r="D189" s="503" t="s">
        <v>290</v>
      </c>
      <c r="E189" s="508">
        <v>85</v>
      </c>
      <c r="F189" s="504" t="s">
        <v>237</v>
      </c>
      <c r="G189" s="504" t="s">
        <v>249</v>
      </c>
      <c r="H189" s="504" t="s">
        <v>240</v>
      </c>
      <c r="I189" s="504"/>
      <c r="J189" s="504"/>
      <c r="K189" s="179" t="str">
        <f>IF(ISBLANK(E189),"ručně doplnit",IF(E189="-","není ve výkazech",IF(C189="Rozvaha",VLOOKUP(E189,radky_R!$A:$B,2,0),IF(C189="Výsledovka",VLOOKUP(E189,radky_V!A:M,2,0)))))</f>
        <v>Ážio</v>
      </c>
      <c r="R189" s="179" t="str">
        <f>IF(ISBLANK(L189),"není alternativa",IF(L189="-","není ve výkazech",VLOOKUP(L189,radky_R!$A:$B,2,0)))</f>
        <v>není alternativa</v>
      </c>
      <c r="S189" s="189" t="s">
        <v>253</v>
      </c>
      <c r="T189" s="189" t="s">
        <v>634</v>
      </c>
    </row>
    <row r="190" spans="1:20" x14ac:dyDescent="0.2">
      <c r="A190" s="196">
        <v>413</v>
      </c>
      <c r="B190" s="189" t="s">
        <v>120</v>
      </c>
      <c r="C190" s="189" t="s">
        <v>342</v>
      </c>
      <c r="D190" s="503" t="s">
        <v>290</v>
      </c>
      <c r="E190" s="508">
        <v>87</v>
      </c>
      <c r="F190" s="504" t="s">
        <v>237</v>
      </c>
      <c r="G190" s="504" t="s">
        <v>249</v>
      </c>
      <c r="H190" s="504" t="s">
        <v>241</v>
      </c>
      <c r="I190" s="504" t="s">
        <v>240</v>
      </c>
      <c r="J190" s="504"/>
      <c r="K190" s="179" t="str">
        <f>IF(ISBLANK(E190),"ručně doplnit",IF(E190="-","není ve výkazech",IF(C190="Rozvaha",VLOOKUP(E190,radky_R!$A:$B,2,0),IF(C190="Výsledovka",VLOOKUP(E190,radky_V!A:M,2,0)))))</f>
        <v>Ostatní kapitálové fondy</v>
      </c>
      <c r="R190" s="179" t="str">
        <f>IF(ISBLANK(L190),"není alternativa",IF(L190="-","není ve výkazech",VLOOKUP(L190,radky_R!$A:$B,2,0)))</f>
        <v>není alternativa</v>
      </c>
      <c r="S190" s="189" t="s">
        <v>253</v>
      </c>
      <c r="T190" s="189" t="s">
        <v>634</v>
      </c>
    </row>
    <row r="191" spans="1:20" x14ac:dyDescent="0.2">
      <c r="A191" s="196">
        <v>414</v>
      </c>
      <c r="B191" s="189" t="s">
        <v>121</v>
      </c>
      <c r="C191" s="189" t="s">
        <v>342</v>
      </c>
      <c r="D191" s="503" t="s">
        <v>290</v>
      </c>
      <c r="E191" s="508">
        <v>88</v>
      </c>
      <c r="F191" s="504" t="s">
        <v>237</v>
      </c>
      <c r="G191" s="504" t="s">
        <v>249</v>
      </c>
      <c r="H191" s="504" t="s">
        <v>241</v>
      </c>
      <c r="I191" s="504" t="s">
        <v>241</v>
      </c>
      <c r="J191" s="504"/>
      <c r="K191" s="179" t="str">
        <f>IF(ISBLANK(E191),"ručně doplnit",IF(E191="-","není ve výkazech",IF(C191="Rozvaha",VLOOKUP(E191,radky_R!$A:$B,2,0),IF(C191="Výsledovka",VLOOKUP(E191,radky_V!A:M,2,0)))))</f>
        <v>Oceňovací rozdíly z přecenění majetku a závazků (+/-)</v>
      </c>
      <c r="R191" s="179" t="str">
        <f>IF(ISBLANK(L191),"není alternativa",IF(L191="-","není ve výkazech",VLOOKUP(L191,radky_R!$A:$B,2,0)))</f>
        <v>není alternativa</v>
      </c>
      <c r="S191" s="189" t="s">
        <v>253</v>
      </c>
      <c r="T191" s="189" t="s">
        <v>634</v>
      </c>
    </row>
    <row r="192" spans="1:20" x14ac:dyDescent="0.2">
      <c r="A192" s="196">
        <v>416</v>
      </c>
      <c r="B192" s="189" t="s">
        <v>301</v>
      </c>
      <c r="C192" s="189" t="s">
        <v>342</v>
      </c>
      <c r="D192" s="503" t="s">
        <v>290</v>
      </c>
      <c r="E192" s="508">
        <v>91</v>
      </c>
      <c r="F192" s="504" t="s">
        <v>237</v>
      </c>
      <c r="G192" s="504" t="s">
        <v>249</v>
      </c>
      <c r="H192" s="504" t="s">
        <v>241</v>
      </c>
      <c r="I192" s="504" t="s">
        <v>244</v>
      </c>
      <c r="J192" s="504"/>
      <c r="K192" s="179" t="str">
        <f>IF(ISBLANK(E192),"ručně doplnit",IF(E192="-","není ve výkazech",IF(C192="Rozvaha",VLOOKUP(E192,radky_R!$A:$B,2,0),IF(C192="Výsledovka",VLOOKUP(E192,radky_V!A:M,2,0)))))</f>
        <v>Rozdíly z ocenění při přeměnách obchodních korporací</v>
      </c>
      <c r="R192" s="179" t="str">
        <f>IF(ISBLANK(L192),"není alternativa",IF(L192="-","není ve výkazech",VLOOKUP(L192,radky_R!$A:$B,2,0)))</f>
        <v>není alternativa</v>
      </c>
      <c r="S192" s="189" t="s">
        <v>253</v>
      </c>
      <c r="T192" s="189" t="s">
        <v>634</v>
      </c>
    </row>
    <row r="193" spans="1:20" x14ac:dyDescent="0.2">
      <c r="A193" s="196">
        <v>417</v>
      </c>
      <c r="B193" s="189" t="s">
        <v>122</v>
      </c>
      <c r="C193" s="189" t="s">
        <v>342</v>
      </c>
      <c r="D193" s="503" t="s">
        <v>290</v>
      </c>
      <c r="E193" s="508">
        <v>90</v>
      </c>
      <c r="F193" s="504" t="s">
        <v>237</v>
      </c>
      <c r="G193" s="504" t="s">
        <v>249</v>
      </c>
      <c r="H193" s="504" t="s">
        <v>241</v>
      </c>
      <c r="I193" s="504" t="s">
        <v>243</v>
      </c>
      <c r="J193" s="504"/>
      <c r="K193" s="179" t="str">
        <f>IF(ISBLANK(E193),"ručně doplnit",IF(E193="-","není ve výkazech",IF(C193="Rozvaha",VLOOKUP(E193,radky_R!$A:$B,2,0),IF(C193="Výsledovka",VLOOKUP(E193,radky_V!A:M,2,0)))))</f>
        <v>Rozdíly z přeměn obchodních korporací</v>
      </c>
      <c r="R193" s="179" t="str">
        <f>IF(ISBLANK(L193),"není alternativa",IF(L193="-","není ve výkazech",VLOOKUP(L193,radky_R!$A:$B,2,0)))</f>
        <v>není alternativa</v>
      </c>
      <c r="S193" s="189" t="s">
        <v>253</v>
      </c>
      <c r="T193" s="189" t="s">
        <v>634</v>
      </c>
    </row>
    <row r="194" spans="1:20" x14ac:dyDescent="0.2">
      <c r="A194" s="196">
        <v>418</v>
      </c>
      <c r="B194" s="189" t="s">
        <v>123</v>
      </c>
      <c r="C194" s="189" t="s">
        <v>342</v>
      </c>
      <c r="D194" s="503" t="s">
        <v>290</v>
      </c>
      <c r="E194" s="508">
        <v>89</v>
      </c>
      <c r="F194" s="504" t="s">
        <v>237</v>
      </c>
      <c r="G194" s="504" t="s">
        <v>249</v>
      </c>
      <c r="H194" s="504" t="s">
        <v>241</v>
      </c>
      <c r="I194" s="504" t="s">
        <v>242</v>
      </c>
      <c r="J194" s="504"/>
      <c r="K194" s="179" t="str">
        <f>IF(ISBLANK(E194),"ručně doplnit",IF(E194="-","není ve výkazech",IF(C194="Rozvaha",VLOOKUP(E194,radky_R!$A:$B,2,0),IF(C194="Výsledovka",VLOOKUP(E194,radky_V!A:M,2,0)))))</f>
        <v>Oceňovací rozdíly z přecenění při přeměnách obchodních korporací (+/-)</v>
      </c>
      <c r="R194" s="179" t="str">
        <f>IF(ISBLANK(L194),"není alternativa",IF(L194="-","není ve výkazech",VLOOKUP(L194,radky_R!$A:$B,2,0)))</f>
        <v>není alternativa</v>
      </c>
      <c r="S194" s="189" t="s">
        <v>253</v>
      </c>
      <c r="T194" s="189" t="s">
        <v>634</v>
      </c>
    </row>
    <row r="195" spans="1:20" x14ac:dyDescent="0.2">
      <c r="A195" s="196">
        <v>419</v>
      </c>
      <c r="B195" s="189" t="s">
        <v>124</v>
      </c>
      <c r="C195" s="189" t="s">
        <v>342</v>
      </c>
      <c r="D195" s="503" t="s">
        <v>290</v>
      </c>
      <c r="E195" s="508">
        <v>83</v>
      </c>
      <c r="F195" s="504" t="s">
        <v>237</v>
      </c>
      <c r="G195" s="504" t="s">
        <v>239</v>
      </c>
      <c r="H195" s="504" t="s">
        <v>242</v>
      </c>
      <c r="I195" s="504"/>
      <c r="J195" s="504"/>
      <c r="K195" s="179" t="str">
        <f>IF(ISBLANK(E195),"ručně doplnit",IF(E195="-","není ve výkazech",IF(C195="Rozvaha",VLOOKUP(E195,radky_R!$A:$B,2,0),IF(C195="Výsledovka",VLOOKUP(E195,radky_V!A:M,2,0)))))</f>
        <v>Změny základního kapitálu</v>
      </c>
      <c r="R195" s="179" t="str">
        <f>IF(ISBLANK(L195),"není alternativa",IF(L195="-","není ve výkazech",VLOOKUP(L195,radky_R!$A:$B,2,0)))</f>
        <v>není alternativa</v>
      </c>
      <c r="S195" s="189" t="s">
        <v>253</v>
      </c>
      <c r="T195" s="189" t="s">
        <v>634</v>
      </c>
    </row>
    <row r="196" spans="1:20" x14ac:dyDescent="0.2">
      <c r="A196" s="196">
        <v>421</v>
      </c>
      <c r="B196" s="189" t="s">
        <v>125</v>
      </c>
      <c r="C196" s="189" t="s">
        <v>342</v>
      </c>
      <c r="D196" s="503" t="s">
        <v>290</v>
      </c>
      <c r="E196" s="508">
        <v>93</v>
      </c>
      <c r="F196" s="504" t="s">
        <v>237</v>
      </c>
      <c r="G196" s="504" t="s">
        <v>254</v>
      </c>
      <c r="H196" s="504" t="s">
        <v>240</v>
      </c>
      <c r="I196" s="504"/>
      <c r="J196" s="504"/>
      <c r="K196" s="179" t="str">
        <f>IF(ISBLANK(E196),"ručně doplnit",IF(E196="-","není ve výkazech",IF(C196="Rozvaha",VLOOKUP(E196,radky_R!$A:$B,2,0),IF(C196="Výsledovka",VLOOKUP(E196,radky_V!A:M,2,0)))))</f>
        <v>Ostatní rezervní fondy</v>
      </c>
      <c r="R196" s="179" t="str">
        <f>IF(ISBLANK(L196),"není alternativa",IF(L196="-","není ve výkazech",VLOOKUP(L196,radky_R!$A:$B,2,0)))</f>
        <v>není alternativa</v>
      </c>
      <c r="S196" s="189" t="s">
        <v>253</v>
      </c>
      <c r="T196" s="189" t="s">
        <v>634</v>
      </c>
    </row>
    <row r="197" spans="1:20" x14ac:dyDescent="0.2">
      <c r="A197" s="196">
        <v>422</v>
      </c>
      <c r="B197" s="189" t="s">
        <v>126</v>
      </c>
      <c r="C197" s="189" t="s">
        <v>342</v>
      </c>
      <c r="D197" s="503" t="s">
        <v>290</v>
      </c>
      <c r="E197" s="196" t="s">
        <v>261</v>
      </c>
      <c r="K197" s="179" t="str">
        <f>IF(ISBLANK(E197),"ručně doplnit",IF(E197="-","není ve výkazech",IF(C197="Rozvaha",VLOOKUP(E197,radky_R!$A:$B,2,0),IF(C197="Výsledovka",VLOOKUP(E197,radky_V!A:M,2,0)))))</f>
        <v>není ve výkazech</v>
      </c>
      <c r="R197" s="179" t="str">
        <f>IF(ISBLANK(L197),"není alternativa",IF(L197="-","není ve výkazech",VLOOKUP(L197,radky_R!$A:$B,2,0)))</f>
        <v>není alternativa</v>
      </c>
      <c r="S197" s="189" t="s">
        <v>253</v>
      </c>
      <c r="T197" s="189" t="s">
        <v>634</v>
      </c>
    </row>
    <row r="198" spans="1:20" x14ac:dyDescent="0.2">
      <c r="A198" s="196">
        <v>423</v>
      </c>
      <c r="B198" s="189" t="s">
        <v>127</v>
      </c>
      <c r="C198" s="189" t="s">
        <v>342</v>
      </c>
      <c r="D198" s="503" t="s">
        <v>290</v>
      </c>
      <c r="E198" s="508">
        <v>94</v>
      </c>
      <c r="F198" s="504" t="s">
        <v>237</v>
      </c>
      <c r="G198" s="504" t="s">
        <v>254</v>
      </c>
      <c r="H198" s="504" t="s">
        <v>241</v>
      </c>
      <c r="I198" s="504"/>
      <c r="J198" s="504"/>
      <c r="K198" s="179" t="str">
        <f>IF(ISBLANK(E198),"ručně doplnit",IF(E198="-","není ve výkazech",IF(C198="Rozvaha",VLOOKUP(E198,radky_R!$A:$B,2,0),IF(C198="Výsledovka",VLOOKUP(E198,radky_V!A:M,2,0)))))</f>
        <v>Statutární a ostatní fondy</v>
      </c>
      <c r="R198" s="179" t="str">
        <f>IF(ISBLANK(L198),"není alternativa",IF(L198="-","není ve výkazech",VLOOKUP(L198,radky_R!$A:$B,2,0)))</f>
        <v>není alternativa</v>
      </c>
      <c r="S198" s="189" t="s">
        <v>253</v>
      </c>
      <c r="T198" s="189" t="s">
        <v>634</v>
      </c>
    </row>
    <row r="199" spans="1:20" x14ac:dyDescent="0.2">
      <c r="A199" s="196">
        <v>426</v>
      </c>
      <c r="B199" s="189" t="s">
        <v>128</v>
      </c>
      <c r="C199" s="189" t="s">
        <v>342</v>
      </c>
      <c r="D199" s="503" t="s">
        <v>290</v>
      </c>
      <c r="E199" s="508">
        <v>98</v>
      </c>
      <c r="F199" s="504" t="s">
        <v>237</v>
      </c>
      <c r="G199" s="504" t="s">
        <v>272</v>
      </c>
      <c r="H199" s="504" t="s">
        <v>242</v>
      </c>
      <c r="I199" s="504"/>
      <c r="J199" s="504"/>
      <c r="K199" s="179" t="str">
        <f>IF(ISBLANK(E199),"ručně doplnit",IF(E199="-","není ve výkazech",IF(C199="Rozvaha",VLOOKUP(E199,radky_R!$A:$B,2,0),IF(C199="Výsledovka",VLOOKUP(E199,radky_V!A:M,2,0)))))</f>
        <v>Jiný výsledek hospodaření minulých let</v>
      </c>
      <c r="R199" s="179" t="str">
        <f>IF(ISBLANK(L199),"není alternativa",IF(L199="-","není ve výkazech",VLOOKUP(L199,radky_R!$A:$B,2,0)))</f>
        <v>není alternativa</v>
      </c>
      <c r="S199" s="189" t="s">
        <v>253</v>
      </c>
      <c r="T199" s="189" t="s">
        <v>634</v>
      </c>
    </row>
    <row r="200" spans="1:20" x14ac:dyDescent="0.2">
      <c r="A200" s="196">
        <v>427</v>
      </c>
      <c r="B200" s="189" t="s">
        <v>129</v>
      </c>
      <c r="C200" s="189" t="s">
        <v>342</v>
      </c>
      <c r="D200" s="503" t="s">
        <v>290</v>
      </c>
      <c r="E200" s="508">
        <v>94</v>
      </c>
      <c r="F200" s="504" t="s">
        <v>237</v>
      </c>
      <c r="G200" s="504" t="s">
        <v>254</v>
      </c>
      <c r="H200" s="504" t="s">
        <v>241</v>
      </c>
      <c r="I200" s="504"/>
      <c r="J200" s="504"/>
      <c r="K200" s="179" t="str">
        <f>IF(ISBLANK(E200),"ručně doplnit",IF(E200="-","není ve výkazech",IF(C200="Rozvaha",VLOOKUP(E200,radky_R!$A:$B,2,0),IF(C200="Výsledovka",VLOOKUP(E200,radky_V!A:M,2,0)))))</f>
        <v>Statutární a ostatní fondy</v>
      </c>
      <c r="R200" s="179" t="str">
        <f>IF(ISBLANK(L200),"není alternativa",IF(L200="-","není ve výkazech",VLOOKUP(L200,radky_R!$A:$B,2,0)))</f>
        <v>není alternativa</v>
      </c>
      <c r="S200" s="189" t="s">
        <v>253</v>
      </c>
      <c r="T200" s="189" t="s">
        <v>634</v>
      </c>
    </row>
    <row r="201" spans="1:20" x14ac:dyDescent="0.2">
      <c r="A201" s="196">
        <v>428</v>
      </c>
      <c r="B201" s="189" t="s">
        <v>130</v>
      </c>
      <c r="C201" s="189" t="s">
        <v>342</v>
      </c>
      <c r="D201" s="503" t="s">
        <v>290</v>
      </c>
      <c r="E201" s="508">
        <v>96</v>
      </c>
      <c r="F201" s="504" t="s">
        <v>237</v>
      </c>
      <c r="G201" s="504" t="s">
        <v>272</v>
      </c>
      <c r="H201" s="504" t="s">
        <v>240</v>
      </c>
      <c r="I201" s="504"/>
      <c r="J201" s="504"/>
      <c r="K201" s="179" t="str">
        <f>IF(ISBLANK(E201),"ručně doplnit",IF(E201="-","není ve výkazech",IF(C201="Rozvaha",VLOOKUP(E201,radky_R!$A:$B,2,0),IF(C201="Výsledovka",VLOOKUP(E201,radky_V!A:M,2,0)))))</f>
        <v>Nerozdělený zisk minulých let +</v>
      </c>
      <c r="R201" s="179" t="str">
        <f>IF(ISBLANK(L201),"není alternativa",IF(L201="-","není ve výkazech",VLOOKUP(L201,radky_R!$A:$B,2,0)))</f>
        <v>není alternativa</v>
      </c>
      <c r="S201" s="189" t="s">
        <v>253</v>
      </c>
      <c r="T201" s="189" t="s">
        <v>634</v>
      </c>
    </row>
    <row r="202" spans="1:20" x14ac:dyDescent="0.2">
      <c r="A202" s="196">
        <v>429</v>
      </c>
      <c r="B202" s="189" t="s">
        <v>131</v>
      </c>
      <c r="C202" s="189" t="s">
        <v>342</v>
      </c>
      <c r="D202" s="503" t="s">
        <v>290</v>
      </c>
      <c r="E202" s="508">
        <v>97</v>
      </c>
      <c r="F202" s="504" t="s">
        <v>237</v>
      </c>
      <c r="G202" s="504" t="s">
        <v>272</v>
      </c>
      <c r="H202" s="504" t="s">
        <v>241</v>
      </c>
      <c r="I202" s="504"/>
      <c r="J202" s="504"/>
      <c r="K202" s="179" t="str">
        <f>IF(ISBLANK(E202),"ručně doplnit",IF(E202="-","není ve výkazech",IF(C202="Rozvaha",VLOOKUP(E202,radky_R!$A:$B,2,0),IF(C202="Výsledovka",VLOOKUP(E202,radky_V!A:M,2,0)))))</f>
        <v>Neuhrazená ztráta minulých let -</v>
      </c>
      <c r="R202" s="179" t="str">
        <f>IF(ISBLANK(L202),"není alternativa",IF(L202="-","není ve výkazech",VLOOKUP(L202,radky_R!$A:$B,2,0)))</f>
        <v>není alternativa</v>
      </c>
      <c r="S202" s="189" t="s">
        <v>253</v>
      </c>
      <c r="T202" s="189" t="s">
        <v>634</v>
      </c>
    </row>
    <row r="203" spans="1:20" x14ac:dyDescent="0.2">
      <c r="A203" s="196">
        <v>431</v>
      </c>
      <c r="B203" s="189" t="s">
        <v>132</v>
      </c>
      <c r="C203" s="189" t="s">
        <v>342</v>
      </c>
      <c r="D203" s="503" t="s">
        <v>317</v>
      </c>
      <c r="E203" s="196"/>
      <c r="K203" s="179" t="str">
        <f>IF(ISBLANK(E203),"ručně doplnit",IF(E203="-","není ve výkazech",IF(C203="Rozvaha",VLOOKUP(E203,radky_R!$A:$B,2,0),IF(C203="Výsledovka",VLOOKUP(E203,radky_V!A:M,2,0)))))</f>
        <v>ručně doplnit</v>
      </c>
      <c r="R203" s="179" t="str">
        <f>IF(ISBLANK(L203),"není alternativa",IF(L203="-","není ve výkazech",VLOOKUP(L203,radky_R!$A:$B,2,0)))</f>
        <v>není alternativa</v>
      </c>
      <c r="S203" s="189" t="s">
        <v>253</v>
      </c>
      <c r="T203" s="189" t="s">
        <v>634</v>
      </c>
    </row>
    <row r="204" spans="1:20" x14ac:dyDescent="0.2">
      <c r="A204" s="196">
        <v>432</v>
      </c>
      <c r="B204" s="189" t="s">
        <v>629</v>
      </c>
      <c r="C204" s="189" t="s">
        <v>342</v>
      </c>
      <c r="D204" s="503" t="s">
        <v>290</v>
      </c>
      <c r="E204" s="508">
        <v>100</v>
      </c>
      <c r="F204" s="504" t="s">
        <v>237</v>
      </c>
      <c r="G204" s="504" t="s">
        <v>322</v>
      </c>
      <c r="H204" s="504"/>
      <c r="I204" s="504"/>
      <c r="J204" s="504"/>
      <c r="K204" s="179" t="str">
        <f>IF(ISBLANK(E204),"ručně doplnit",IF(E204="-","není ve výkazech",IF(C204="Rozvaha",VLOOKUP(E204,radky_R!$A:$B,2,0),IF(C204="Výsledovka",VLOOKUP(E204,radky_V!A:M,2,0)))))</f>
        <v>Rozhodnuto o zálohové výplatě podílu na zisku</v>
      </c>
      <c r="R204" s="179" t="str">
        <f>IF(ISBLANK(L204),"není alternativa",IF(L204="-","není ve výkazech",VLOOKUP(L204,radky_R!$A:$B,2,0)))</f>
        <v>není alternativa</v>
      </c>
      <c r="S204" s="189" t="s">
        <v>253</v>
      </c>
      <c r="T204" s="189" t="s">
        <v>634</v>
      </c>
    </row>
    <row r="205" spans="1:20" x14ac:dyDescent="0.2">
      <c r="A205" s="196">
        <v>451</v>
      </c>
      <c r="B205" s="189" t="s">
        <v>133</v>
      </c>
      <c r="C205" s="189" t="s">
        <v>342</v>
      </c>
      <c r="D205" s="503" t="s">
        <v>290</v>
      </c>
      <c r="E205" s="508">
        <v>105</v>
      </c>
      <c r="F205" s="504" t="s">
        <v>238</v>
      </c>
      <c r="G205" s="504" t="s">
        <v>242</v>
      </c>
      <c r="H205" s="504"/>
      <c r="I205" s="504"/>
      <c r="J205" s="504"/>
      <c r="K205" s="179" t="str">
        <f>IF(ISBLANK(E205),"ručně doplnit",IF(E205="-","není ve výkazech",IF(C205="Rozvaha",VLOOKUP(E205,radky_R!$A:$B,2,0),IF(C205="Výsledovka",VLOOKUP(E205,radky_V!A:M,2,0)))))</f>
        <v>Rezervy podle zvláštních právních předpisů</v>
      </c>
      <c r="R205" s="179" t="str">
        <f>IF(ISBLANK(L205),"není alternativa",IF(L205="-","není ve výkazech",VLOOKUP(L205,radky_R!$A:$B,2,0)))</f>
        <v>není alternativa</v>
      </c>
      <c r="S205" s="189" t="s">
        <v>253</v>
      </c>
      <c r="T205" s="189" t="s">
        <v>633</v>
      </c>
    </row>
    <row r="206" spans="1:20" x14ac:dyDescent="0.2">
      <c r="A206" s="196">
        <v>452</v>
      </c>
      <c r="B206" s="189" t="s">
        <v>134</v>
      </c>
      <c r="C206" s="189" t="s">
        <v>342</v>
      </c>
      <c r="D206" s="503" t="s">
        <v>290</v>
      </c>
      <c r="E206" s="196"/>
      <c r="K206" s="179" t="str">
        <f>IF(ISBLANK(E206),"ručně doplnit",IF(E206="-","není ve výkazech",IF(C206="Rozvaha",VLOOKUP(E206,radky_R!$A:$B,2,0),IF(C206="Výsledovka",VLOOKUP(E206,radky_V!A:M,2,0)))))</f>
        <v>ručně doplnit</v>
      </c>
      <c r="R206" s="179" t="str">
        <f>IF(ISBLANK(L206),"není alternativa",IF(L206="-","není ve výkazech",VLOOKUP(L206,radky_R!$A:$B,2,0)))</f>
        <v>není alternativa</v>
      </c>
      <c r="S206" s="189" t="s">
        <v>253</v>
      </c>
      <c r="T206" s="189" t="s">
        <v>638</v>
      </c>
    </row>
    <row r="207" spans="1:20" x14ac:dyDescent="0.2">
      <c r="A207" s="196">
        <v>453</v>
      </c>
      <c r="B207" s="189" t="s">
        <v>135</v>
      </c>
      <c r="C207" s="189" t="s">
        <v>342</v>
      </c>
      <c r="D207" s="503" t="s">
        <v>290</v>
      </c>
      <c r="E207" s="508">
        <v>104</v>
      </c>
      <c r="F207" s="504" t="s">
        <v>238</v>
      </c>
      <c r="G207" s="504" t="s">
        <v>241</v>
      </c>
      <c r="H207" s="504"/>
      <c r="I207" s="504"/>
      <c r="J207" s="504"/>
      <c r="K207" s="179" t="str">
        <f>IF(ISBLANK(E207),"ručně doplnit",IF(E207="-","není ve výkazech",IF(C207="Rozvaha",VLOOKUP(E207,radky_R!$A:$B,2,0),IF(C207="Výsledovka",VLOOKUP(E207,radky_V!A:M,2,0)))))</f>
        <v>Rezerva na daň z příjmů</v>
      </c>
      <c r="R207" s="179" t="str">
        <f>IF(ISBLANK(L207),"není alternativa",IF(L207="-","není ve výkazech",VLOOKUP(L207,radky_R!$A:$B,2,0)))</f>
        <v>není alternativa</v>
      </c>
      <c r="S207" s="189" t="s">
        <v>253</v>
      </c>
      <c r="T207" s="189" t="s">
        <v>639</v>
      </c>
    </row>
    <row r="208" spans="1:20" x14ac:dyDescent="0.2">
      <c r="A208" s="196">
        <v>454</v>
      </c>
      <c r="C208" s="189" t="s">
        <v>342</v>
      </c>
      <c r="D208" s="503" t="s">
        <v>290</v>
      </c>
      <c r="E208" s="196"/>
      <c r="K208" s="179" t="str">
        <f>IF(ISBLANK(E208),"ručně doplnit",IF(E208="-","není ve výkazech",IF(C208="Rozvaha",VLOOKUP(E208,radky_R!$A:$B,2,0),IF(C208="Výsledovka",VLOOKUP(E208,radky_V!A:M,2,0)))))</f>
        <v>ručně doplnit</v>
      </c>
      <c r="R208" s="179" t="str">
        <f>IF(ISBLANK(L208),"není alternativa",IF(L208="-","není ve výkazech",VLOOKUP(L208,radky_R!$A:$B,2,0)))</f>
        <v>není alternativa</v>
      </c>
      <c r="S208" s="189" t="s">
        <v>253</v>
      </c>
      <c r="T208" s="189" t="s">
        <v>639</v>
      </c>
    </row>
    <row r="209" spans="1:20" x14ac:dyDescent="0.2">
      <c r="A209" s="196">
        <v>459</v>
      </c>
      <c r="B209" s="189" t="s">
        <v>136</v>
      </c>
      <c r="C209" s="189" t="s">
        <v>342</v>
      </c>
      <c r="D209" s="503" t="s">
        <v>290</v>
      </c>
      <c r="E209" s="508">
        <v>106</v>
      </c>
      <c r="F209" s="504" t="s">
        <v>238</v>
      </c>
      <c r="G209" s="504" t="s">
        <v>243</v>
      </c>
      <c r="H209" s="504"/>
      <c r="I209" s="504"/>
      <c r="J209" s="504"/>
      <c r="K209" s="179" t="str">
        <f>IF(ISBLANK(E209),"ručně doplnit",IF(E209="-","není ve výkazech",IF(C209="Rozvaha",VLOOKUP(E209,radky_R!$A:$B,2,0),IF(C209="Výsledovka",VLOOKUP(E209,radky_V!A:M,2,0)))))</f>
        <v>Ostatní rezervy</v>
      </c>
      <c r="R209" s="179" t="str">
        <f>IF(ISBLANK(L209),"není alternativa",IF(L209="-","není ve výkazech",VLOOKUP(L209,radky_R!$A:$B,2,0)))</f>
        <v>není alternativa</v>
      </c>
      <c r="S209" s="189" t="s">
        <v>253</v>
      </c>
      <c r="T209" s="189" t="s">
        <v>638</v>
      </c>
    </row>
    <row r="210" spans="1:20" x14ac:dyDescent="0.2">
      <c r="A210" s="196">
        <v>459</v>
      </c>
      <c r="B210" s="189" t="s">
        <v>136</v>
      </c>
      <c r="C210" s="189" t="s">
        <v>342</v>
      </c>
      <c r="D210" s="503" t="s">
        <v>290</v>
      </c>
      <c r="E210" s="508">
        <v>103</v>
      </c>
      <c r="F210" s="504" t="s">
        <v>238</v>
      </c>
      <c r="G210" s="504" t="s">
        <v>240</v>
      </c>
      <c r="H210" s="504"/>
      <c r="I210" s="504"/>
      <c r="J210" s="504"/>
      <c r="K210" s="179" t="str">
        <f>IF(ISBLANK(E210),"ručně doplnit",IF(E210="-","není ve výkazech",IF(C210="Rozvaha",VLOOKUP(E210,radky_R!$A:$B,2,0),IF(C210="Výsledovka",VLOOKUP(E210,radky_V!A:M,2,0)))))</f>
        <v>Rezerva na důchody a podobné závazky</v>
      </c>
      <c r="R210" s="179" t="str">
        <f>IF(ISBLANK(L210),"není alternativa",IF(L210="-","není ve výkazech",VLOOKUP(L210,radky_R!$A:$B,2,0)))</f>
        <v>není alternativa</v>
      </c>
      <c r="S210" s="189" t="s">
        <v>253</v>
      </c>
      <c r="T210" s="189" t="s">
        <v>638</v>
      </c>
    </row>
    <row r="211" spans="1:20" x14ac:dyDescent="0.2">
      <c r="A211" s="196">
        <v>461</v>
      </c>
      <c r="B211" s="189" t="s">
        <v>780</v>
      </c>
      <c r="C211" s="189" t="s">
        <v>342</v>
      </c>
      <c r="D211" s="503" t="s">
        <v>290</v>
      </c>
      <c r="E211" s="508">
        <v>112</v>
      </c>
      <c r="F211" s="504" t="s">
        <v>264</v>
      </c>
      <c r="G211" s="504" t="s">
        <v>239</v>
      </c>
      <c r="H211" s="504" t="s">
        <v>241</v>
      </c>
      <c r="I211" s="504"/>
      <c r="J211" s="504"/>
      <c r="K211" s="179" t="str">
        <f>IF(ISBLANK(E211),"ručně doplnit",IF(E211="-","není ve výkazech",IF(C211="Rozvaha",VLOOKUP(E211,radky_R!$A:$B,2,0),IF(C211="Výsledovka",VLOOKUP(E211,radky_V!A:M,2,0)))))</f>
        <v>Závazky k úvěrovým institucím</v>
      </c>
      <c r="R211" s="179" t="str">
        <f>IF(ISBLANK(L211),"není alternativa",IF(L211="-","není ve výkazech",VLOOKUP(L211,radky_R!$A:$B,2,0)))</f>
        <v>není alternativa</v>
      </c>
      <c r="S211" s="189" t="s">
        <v>253</v>
      </c>
      <c r="T211" s="189" t="s">
        <v>634</v>
      </c>
    </row>
    <row r="212" spans="1:20" x14ac:dyDescent="0.2">
      <c r="A212" s="196">
        <v>461</v>
      </c>
      <c r="B212" s="189" t="s">
        <v>780</v>
      </c>
      <c r="C212" s="189" t="s">
        <v>342</v>
      </c>
      <c r="D212" s="503" t="s">
        <v>290</v>
      </c>
      <c r="E212" s="508">
        <v>127</v>
      </c>
      <c r="F212" s="504" t="s">
        <v>264</v>
      </c>
      <c r="G212" s="504" t="s">
        <v>249</v>
      </c>
      <c r="H212" s="504" t="s">
        <v>241</v>
      </c>
      <c r="I212" s="504"/>
      <c r="J212" s="504"/>
      <c r="K212" s="179" t="str">
        <f>IF(ISBLANK(E212),"ručně doplnit",IF(E212="-","není ve výkazech",IF(C212="Rozvaha",VLOOKUP(E212,radky_R!$A:$B,2,0),IF(C212="Výsledovka",VLOOKUP(E212,radky_V!A:M,2,0)))))</f>
        <v>Závazky k úvěrovým institucím</v>
      </c>
      <c r="R212" s="179" t="str">
        <f>IF(ISBLANK(L212),"není alternativa",IF(L212="-","není ve výkazech",VLOOKUP(L212,radky_R!$A:$B,2,0)))</f>
        <v>není alternativa</v>
      </c>
      <c r="S212" s="189" t="s">
        <v>253</v>
      </c>
      <c r="T212" s="189" t="s">
        <v>634</v>
      </c>
    </row>
    <row r="213" spans="1:20" x14ac:dyDescent="0.2">
      <c r="A213" s="196">
        <v>471</v>
      </c>
      <c r="B213" s="189" t="s">
        <v>137</v>
      </c>
      <c r="C213" s="189" t="s">
        <v>342</v>
      </c>
      <c r="D213" s="503" t="s">
        <v>290</v>
      </c>
      <c r="E213" s="508">
        <v>116</v>
      </c>
      <c r="F213" s="504" t="s">
        <v>264</v>
      </c>
      <c r="G213" s="504" t="s">
        <v>239</v>
      </c>
      <c r="H213" s="504" t="s">
        <v>245</v>
      </c>
      <c r="I213" s="504"/>
      <c r="J213" s="504"/>
      <c r="K213" s="179" t="str">
        <f>IF(ISBLANK(E213),"ručně doplnit",IF(E213="-","není ve výkazech",IF(C213="Rozvaha",VLOOKUP(E213,radky_R!$A:$B,2,0),IF(C213="Výsledovka",VLOOKUP(E213,radky_V!A:M,2,0)))))</f>
        <v>Závazky - ovládaná nebo ovládající osoba</v>
      </c>
      <c r="R213" s="179" t="str">
        <f>IF(ISBLANK(L213),"není alternativa",IF(L213="-","není ve výkazech",VLOOKUP(L213,radky_R!$A:$B,2,0)))</f>
        <v>není alternativa</v>
      </c>
      <c r="S213" s="189" t="s">
        <v>253</v>
      </c>
      <c r="T213" s="189" t="s">
        <v>634</v>
      </c>
    </row>
    <row r="214" spans="1:20" x14ac:dyDescent="0.2">
      <c r="A214" s="196">
        <v>471</v>
      </c>
      <c r="B214" s="189" t="s">
        <v>137</v>
      </c>
      <c r="C214" s="189" t="s">
        <v>342</v>
      </c>
      <c r="D214" s="503" t="s">
        <v>290</v>
      </c>
      <c r="E214" s="508">
        <v>131</v>
      </c>
      <c r="F214" s="504" t="s">
        <v>264</v>
      </c>
      <c r="G214" s="504" t="s">
        <v>249</v>
      </c>
      <c r="H214" s="504" t="s">
        <v>245</v>
      </c>
      <c r="I214" s="504"/>
      <c r="J214" s="504"/>
      <c r="K214" s="179" t="str">
        <f>IF(ISBLANK(E214),"ručně doplnit",IF(E214="-","není ve výkazech",IF(C214="Rozvaha",VLOOKUP(E214,radky_R!$A:$B,2,0),IF(C214="Výsledovka",VLOOKUP(E214,radky_V!A:M,2,0)))))</f>
        <v>Závazky - ovládaná nebo ovládající osoba</v>
      </c>
      <c r="R214" s="179" t="str">
        <f>IF(ISBLANK(L214),"není alternativa",IF(L214="-","není ve výkazech",VLOOKUP(L214,radky_R!$A:$B,2,0)))</f>
        <v>není alternativa</v>
      </c>
      <c r="S214" s="189" t="s">
        <v>253</v>
      </c>
      <c r="T214" s="189" t="s">
        <v>634</v>
      </c>
    </row>
    <row r="215" spans="1:20" x14ac:dyDescent="0.2">
      <c r="A215" s="196">
        <v>472</v>
      </c>
      <c r="B215" s="189" t="s">
        <v>138</v>
      </c>
      <c r="C215" s="189" t="s">
        <v>342</v>
      </c>
      <c r="D215" s="503" t="s">
        <v>290</v>
      </c>
      <c r="E215" s="508">
        <v>117</v>
      </c>
      <c r="F215" s="504" t="s">
        <v>264</v>
      </c>
      <c r="G215" s="504" t="s">
        <v>239</v>
      </c>
      <c r="H215" s="504" t="s">
        <v>246</v>
      </c>
      <c r="I215" s="504"/>
      <c r="J215" s="504"/>
      <c r="K215" s="179" t="str">
        <f>IF(ISBLANK(E215),"ručně doplnit",IF(E215="-","není ve výkazech",IF(C215="Rozvaha",VLOOKUP(E215,radky_R!$A:$B,2,0),IF(C215="Výsledovka",VLOOKUP(E215,radky_V!A:M,2,0)))))</f>
        <v>Závazky - podstatný vliv</v>
      </c>
      <c r="R215" s="179" t="str">
        <f>IF(ISBLANK(L215),"není alternativa",IF(L215="-","není ve výkazech",VLOOKUP(L215,radky_R!$A:$B,2,0)))</f>
        <v>není alternativa</v>
      </c>
      <c r="S215" s="189" t="s">
        <v>253</v>
      </c>
      <c r="T215" s="189" t="s">
        <v>634</v>
      </c>
    </row>
    <row r="216" spans="1:20" x14ac:dyDescent="0.2">
      <c r="A216" s="196">
        <v>472</v>
      </c>
      <c r="B216" s="189" t="s">
        <v>138</v>
      </c>
      <c r="C216" s="189" t="s">
        <v>342</v>
      </c>
      <c r="D216" s="503" t="s">
        <v>290</v>
      </c>
      <c r="E216" s="508">
        <v>132</v>
      </c>
      <c r="F216" s="504" t="s">
        <v>264</v>
      </c>
      <c r="G216" s="504" t="s">
        <v>249</v>
      </c>
      <c r="H216" s="504" t="s">
        <v>246</v>
      </c>
      <c r="I216" s="504"/>
      <c r="J216" s="504"/>
      <c r="K216" s="179" t="str">
        <f>IF(ISBLANK(E216),"ručně doplnit",IF(E216="-","není ve výkazech",IF(C216="Rozvaha",VLOOKUP(E216,radky_R!$A:$B,2,0),IF(C216="Výsledovka",VLOOKUP(E216,radky_V!A:M,2,0)))))</f>
        <v>Závazky - podstatný vliv</v>
      </c>
      <c r="R216" s="179" t="str">
        <f>IF(ISBLANK(L216),"není alternativa",IF(L216="-","není ve výkazech",VLOOKUP(L216,radky_R!$A:$B,2,0)))</f>
        <v>není alternativa</v>
      </c>
      <c r="S216" s="189" t="s">
        <v>253</v>
      </c>
      <c r="T216" s="189" t="s">
        <v>634</v>
      </c>
    </row>
    <row r="217" spans="1:20" x14ac:dyDescent="0.2">
      <c r="A217" s="196">
        <v>473</v>
      </c>
      <c r="B217" s="189" t="s">
        <v>139</v>
      </c>
      <c r="C217" s="189" t="s">
        <v>342</v>
      </c>
      <c r="D217" s="503" t="s">
        <v>290</v>
      </c>
      <c r="E217" s="508">
        <v>111</v>
      </c>
      <c r="F217" s="504" t="s">
        <v>264</v>
      </c>
      <c r="G217" s="504" t="s">
        <v>239</v>
      </c>
      <c r="H217" s="504" t="s">
        <v>240</v>
      </c>
      <c r="I217" s="504" t="s">
        <v>241</v>
      </c>
      <c r="J217" s="504"/>
      <c r="K217" s="179" t="str">
        <f>IF(ISBLANK(E217),"ručně doplnit",IF(E217="-","není ve výkazech",IF(C217="Rozvaha",VLOOKUP(E217,radky_R!$A:$B,2,0),IF(C217="Výsledovka",VLOOKUP(E217,radky_V!A:M,2,0)))))</f>
        <v>Ostatní dluhopisy</v>
      </c>
      <c r="R217" s="179" t="str">
        <f>IF(ISBLANK(L217),"není alternativa",IF(L217="-","není ve výkazech",VLOOKUP(L217,radky_R!$A:$B,2,0)))</f>
        <v>není alternativa</v>
      </c>
      <c r="S217" s="189" t="s">
        <v>253</v>
      </c>
      <c r="T217" s="189" t="s">
        <v>634</v>
      </c>
    </row>
    <row r="218" spans="1:20" x14ac:dyDescent="0.2">
      <c r="A218" s="196">
        <v>473</v>
      </c>
      <c r="B218" s="189" t="s">
        <v>139</v>
      </c>
      <c r="C218" s="189" t="s">
        <v>342</v>
      </c>
      <c r="D218" s="503" t="s">
        <v>290</v>
      </c>
      <c r="E218" s="508">
        <v>110</v>
      </c>
      <c r="F218" s="504" t="s">
        <v>264</v>
      </c>
      <c r="G218" s="504" t="s">
        <v>239</v>
      </c>
      <c r="H218" s="504" t="s">
        <v>240</v>
      </c>
      <c r="I218" s="504" t="s">
        <v>240</v>
      </c>
      <c r="J218" s="504"/>
      <c r="K218" s="179" t="str">
        <f>IF(ISBLANK(E218),"ručně doplnit",IF(E218="-","není ve výkazech",IF(C218="Rozvaha",VLOOKUP(E218,radky_R!$A:$B,2,0),IF(C218="Výsledovka",VLOOKUP(E218,radky_V!A:M,2,0)))))</f>
        <v>Vyměnitelné dluhopisy</v>
      </c>
      <c r="R218" s="179" t="str">
        <f>IF(ISBLANK(L218),"není alternativa",IF(L218="-","není ve výkazech",VLOOKUP(L218,radky_R!$A:$B,2,0)))</f>
        <v>není alternativa</v>
      </c>
      <c r="S218" s="189" t="s">
        <v>253</v>
      </c>
      <c r="T218" s="189" t="s">
        <v>634</v>
      </c>
    </row>
    <row r="219" spans="1:20" x14ac:dyDescent="0.2">
      <c r="A219" s="196">
        <v>473</v>
      </c>
      <c r="B219" s="189" t="s">
        <v>139</v>
      </c>
      <c r="C219" s="189" t="s">
        <v>342</v>
      </c>
      <c r="D219" s="503" t="s">
        <v>290</v>
      </c>
      <c r="E219" s="508">
        <v>126</v>
      </c>
      <c r="F219" s="504" t="s">
        <v>264</v>
      </c>
      <c r="G219" s="504" t="s">
        <v>249</v>
      </c>
      <c r="H219" s="504" t="s">
        <v>240</v>
      </c>
      <c r="I219" s="504" t="s">
        <v>241</v>
      </c>
      <c r="J219" s="504"/>
      <c r="K219" s="179" t="str">
        <f>IF(ISBLANK(E219),"ručně doplnit",IF(E219="-","není ve výkazech",IF(C219="Rozvaha",VLOOKUP(E219,radky_R!$A:$B,2,0),IF(C219="Výsledovka",VLOOKUP(E219,radky_V!A:M,2,0)))))</f>
        <v>Ostatní dluhopisy</v>
      </c>
      <c r="R219" s="179" t="str">
        <f>IF(ISBLANK(L219),"není alternativa",IF(L219="-","není ve výkazech",VLOOKUP(L219,radky_R!$A:$B,2,0)))</f>
        <v>není alternativa</v>
      </c>
      <c r="S219" s="189" t="s">
        <v>253</v>
      </c>
      <c r="T219" s="189" t="s">
        <v>634</v>
      </c>
    </row>
    <row r="220" spans="1:20" x14ac:dyDescent="0.2">
      <c r="A220" s="196">
        <v>473</v>
      </c>
      <c r="B220" s="189" t="s">
        <v>139</v>
      </c>
      <c r="C220" s="189" t="s">
        <v>342</v>
      </c>
      <c r="D220" s="503" t="s">
        <v>290</v>
      </c>
      <c r="E220" s="508">
        <v>125</v>
      </c>
      <c r="F220" s="504" t="s">
        <v>264</v>
      </c>
      <c r="G220" s="504" t="s">
        <v>249</v>
      </c>
      <c r="H220" s="504" t="s">
        <v>240</v>
      </c>
      <c r="I220" s="504" t="s">
        <v>240</v>
      </c>
      <c r="J220" s="504"/>
      <c r="K220" s="179" t="str">
        <f>IF(ISBLANK(E220),"ručně doplnit",IF(E220="-","není ve výkazech",IF(C220="Rozvaha",VLOOKUP(E220,radky_R!$A:$B,2,0),IF(C220="Výsledovka",VLOOKUP(E220,radky_V!A:M,2,0)))))</f>
        <v>Vyměnitelné dluhopisy</v>
      </c>
      <c r="R220" s="179" t="str">
        <f>IF(ISBLANK(L220),"není alternativa",IF(L220="-","není ve výkazech",VLOOKUP(L220,radky_R!$A:$B,2,0)))</f>
        <v>není alternativa</v>
      </c>
      <c r="S220" s="189" t="s">
        <v>253</v>
      </c>
      <c r="T220" s="189" t="s">
        <v>634</v>
      </c>
    </row>
    <row r="221" spans="1:20" x14ac:dyDescent="0.2">
      <c r="A221" s="196">
        <v>474</v>
      </c>
      <c r="B221" s="189" t="s">
        <v>781</v>
      </c>
      <c r="C221" s="189" t="s">
        <v>342</v>
      </c>
      <c r="D221" s="503" t="s">
        <v>290</v>
      </c>
      <c r="E221" s="508">
        <v>140</v>
      </c>
      <c r="F221" s="504" t="s">
        <v>264</v>
      </c>
      <c r="G221" s="504" t="s">
        <v>249</v>
      </c>
      <c r="H221" s="504" t="s">
        <v>247</v>
      </c>
      <c r="I221" s="504" t="s">
        <v>246</v>
      </c>
      <c r="J221" s="504"/>
      <c r="K221" s="179" t="str">
        <f>IF(ISBLANK(E221),"ručně doplnit",IF(E221="-","není ve výkazech",IF(C221="Rozvaha",VLOOKUP(E221,radky_R!$A:$B,2,0),IF(C221="Výsledovka",VLOOKUP(E221,radky_V!A:M,2,0)))))</f>
        <v>Jiné závazky</v>
      </c>
      <c r="R221" s="179" t="str">
        <f>IF(ISBLANK(L221),"není alternativa",IF(L221="-","není ve výkazech",VLOOKUP(L221,radky_R!$A:$B,2,0)))</f>
        <v>není alternativa</v>
      </c>
      <c r="S221" s="189" t="s">
        <v>253</v>
      </c>
      <c r="T221" s="189" t="s">
        <v>637</v>
      </c>
    </row>
    <row r="222" spans="1:20" x14ac:dyDescent="0.2">
      <c r="A222" s="196">
        <v>474</v>
      </c>
      <c r="B222" s="189" t="s">
        <v>781</v>
      </c>
      <c r="C222" s="189" t="s">
        <v>342</v>
      </c>
      <c r="D222" s="503" t="s">
        <v>290</v>
      </c>
      <c r="E222" s="508">
        <v>122</v>
      </c>
      <c r="F222" s="504" t="s">
        <v>264</v>
      </c>
      <c r="G222" s="504" t="s">
        <v>239</v>
      </c>
      <c r="H222" s="504" t="s">
        <v>250</v>
      </c>
      <c r="I222" s="504" t="s">
        <v>242</v>
      </c>
      <c r="J222" s="504"/>
      <c r="K222" s="179" t="str">
        <f>IF(ISBLANK(E222),"ručně doplnit",IF(E222="-","není ve výkazech",IF(C222="Rozvaha",VLOOKUP(E222,radky_R!$A:$B,2,0),IF(C222="Výsledovka",VLOOKUP(E222,radky_V!A:M,2,0)))))</f>
        <v>Jiné závazky</v>
      </c>
      <c r="R222" s="179" t="str">
        <f>IF(ISBLANK(L222),"není alternativa",IF(L222="-","není ve výkazech",VLOOKUP(L222,radky_R!$A:$B,2,0)))</f>
        <v>není alternativa</v>
      </c>
      <c r="S222" s="189" t="s">
        <v>253</v>
      </c>
      <c r="T222" s="189" t="s">
        <v>637</v>
      </c>
    </row>
    <row r="223" spans="1:20" x14ac:dyDescent="0.2">
      <c r="A223" s="196">
        <v>475</v>
      </c>
      <c r="B223" s="189" t="s">
        <v>140</v>
      </c>
      <c r="C223" s="189" t="s">
        <v>342</v>
      </c>
      <c r="D223" s="503" t="s">
        <v>290</v>
      </c>
      <c r="E223" s="508">
        <v>113</v>
      </c>
      <c r="F223" s="504" t="s">
        <v>264</v>
      </c>
      <c r="G223" s="504" t="s">
        <v>239</v>
      </c>
      <c r="H223" s="509" t="s">
        <v>242</v>
      </c>
      <c r="I223" s="509"/>
      <c r="J223" s="509"/>
      <c r="K223" s="179" t="str">
        <f>IF(ISBLANK(E223),"ručně doplnit",IF(E223="-","není ve výkazech",IF(C223="Rozvaha",VLOOKUP(E223,radky_R!$A:$B,2,0),IF(C223="Výsledovka",VLOOKUP(E223,radky_V!A:M,2,0)))))</f>
        <v>Dlouhodobé přijaté zálohy</v>
      </c>
      <c r="R223" s="179" t="str">
        <f>IF(ISBLANK(L223),"není alternativa",IF(L223="-","není ve výkazech",VLOOKUP(L223,radky_R!$A:$B,2,0)))</f>
        <v>není alternativa</v>
      </c>
      <c r="S223" s="189" t="s">
        <v>253</v>
      </c>
      <c r="T223" s="189" t="s">
        <v>634</v>
      </c>
    </row>
    <row r="224" spans="1:20" x14ac:dyDescent="0.2">
      <c r="A224" s="196">
        <v>475</v>
      </c>
      <c r="B224" s="189" t="s">
        <v>140</v>
      </c>
      <c r="C224" s="189" t="s">
        <v>342</v>
      </c>
      <c r="D224" s="503" t="s">
        <v>290</v>
      </c>
      <c r="E224" s="508">
        <v>128</v>
      </c>
      <c r="F224" s="504" t="s">
        <v>264</v>
      </c>
      <c r="G224" s="504" t="s">
        <v>249</v>
      </c>
      <c r="H224" s="509" t="s">
        <v>242</v>
      </c>
      <c r="I224" s="509"/>
      <c r="J224" s="509"/>
      <c r="K224" s="179" t="str">
        <f>IF(ISBLANK(E224),"ručně doplnit",IF(E224="-","není ve výkazech",IF(C224="Rozvaha",VLOOKUP(E224,radky_R!$A:$B,2,0),IF(C224="Výsledovka",VLOOKUP(E224,radky_V!A:M,2,0)))))</f>
        <v>Krátkodobé přijaté zálohy</v>
      </c>
      <c r="R224" s="179" t="str">
        <f>IF(ISBLANK(L224),"není alternativa",IF(L224="-","není ve výkazech",VLOOKUP(L224,radky_R!$A:$B,2,0)))</f>
        <v>není alternativa</v>
      </c>
      <c r="S224" s="189" t="s">
        <v>253</v>
      </c>
      <c r="T224" s="189" t="s">
        <v>634</v>
      </c>
    </row>
    <row r="225" spans="1:20" x14ac:dyDescent="0.2">
      <c r="A225" s="196">
        <v>478</v>
      </c>
      <c r="B225" s="189" t="s">
        <v>141</v>
      </c>
      <c r="C225" s="189" t="s">
        <v>342</v>
      </c>
      <c r="D225" s="503" t="s">
        <v>290</v>
      </c>
      <c r="E225" s="508">
        <v>130</v>
      </c>
      <c r="F225" s="504" t="s">
        <v>264</v>
      </c>
      <c r="G225" s="504" t="s">
        <v>249</v>
      </c>
      <c r="H225" s="509" t="s">
        <v>244</v>
      </c>
      <c r="I225" s="504"/>
      <c r="J225" s="504"/>
      <c r="K225" s="179" t="str">
        <f>IF(ISBLANK(E225),"ručně doplnit",IF(E225="-","není ve výkazech",IF(C225="Rozvaha",VLOOKUP(E225,radky_R!$A:$B,2,0),IF(C225="Výsledovka",VLOOKUP(E225,radky_V!A:M,2,0)))))</f>
        <v>Krátkodobé směnky k úhradě</v>
      </c>
      <c r="R225" s="179" t="str">
        <f>IF(ISBLANK(L225),"není alternativa",IF(L225="-","není ve výkazech",VLOOKUP(L225,radky_R!$A:$B,2,0)))</f>
        <v>není alternativa</v>
      </c>
      <c r="S225" s="189" t="s">
        <v>253</v>
      </c>
      <c r="T225" s="189" t="s">
        <v>634</v>
      </c>
    </row>
    <row r="226" spans="1:20" x14ac:dyDescent="0.2">
      <c r="A226" s="196">
        <v>478</v>
      </c>
      <c r="B226" s="189" t="s">
        <v>141</v>
      </c>
      <c r="C226" s="189" t="s">
        <v>342</v>
      </c>
      <c r="D226" s="503" t="s">
        <v>290</v>
      </c>
      <c r="E226" s="508">
        <v>115</v>
      </c>
      <c r="F226" s="504" t="s">
        <v>264</v>
      </c>
      <c r="G226" s="504" t="s">
        <v>239</v>
      </c>
      <c r="H226" s="509" t="s">
        <v>244</v>
      </c>
      <c r="I226" s="504"/>
      <c r="J226" s="504"/>
      <c r="K226" s="179" t="str">
        <f>IF(ISBLANK(E226),"ručně doplnit",IF(E226="-","není ve výkazech",IF(C226="Rozvaha",VLOOKUP(E226,radky_R!$A:$B,2,0),IF(C226="Výsledovka",VLOOKUP(E226,radky_V!A:M,2,0)))))</f>
        <v>Dlouhodobé směnky k úhradě</v>
      </c>
      <c r="R226" s="179" t="str">
        <f>IF(ISBLANK(L226),"není alternativa",IF(L226="-","není ve výkazech",VLOOKUP(L226,radky_R!$A:$B,2,0)))</f>
        <v>není alternativa</v>
      </c>
      <c r="S226" s="189" t="s">
        <v>253</v>
      </c>
      <c r="T226" s="189" t="s">
        <v>634</v>
      </c>
    </row>
    <row r="227" spans="1:20" x14ac:dyDescent="0.2">
      <c r="A227" s="196">
        <v>479</v>
      </c>
      <c r="B227" s="189" t="s">
        <v>142</v>
      </c>
      <c r="C227" s="189" t="s">
        <v>342</v>
      </c>
      <c r="D227" s="503" t="s">
        <v>290</v>
      </c>
      <c r="E227" s="508">
        <v>122</v>
      </c>
      <c r="F227" s="504" t="s">
        <v>264</v>
      </c>
      <c r="G227" s="504" t="s">
        <v>239</v>
      </c>
      <c r="H227" s="504" t="s">
        <v>250</v>
      </c>
      <c r="I227" s="504" t="s">
        <v>242</v>
      </c>
      <c r="J227" s="504"/>
      <c r="K227" s="179" t="str">
        <f>IF(ISBLANK(E227),"ručně doplnit",IF(E227="-","není ve výkazech",IF(C227="Rozvaha",VLOOKUP(E227,radky_R!$A:$B,2,0),IF(C227="Výsledovka",VLOOKUP(E227,radky_V!A:M,2,0)))))</f>
        <v>Jiné závazky</v>
      </c>
      <c r="R227" s="179" t="str">
        <f>IF(ISBLANK(L227),"není alternativa",IF(L227="-","není ve výkazech",VLOOKUP(L227,radky_R!$A:$B,2,0)))</f>
        <v>není alternativa</v>
      </c>
      <c r="S227" s="189" t="s">
        <v>253</v>
      </c>
      <c r="T227" s="189" t="s">
        <v>634</v>
      </c>
    </row>
    <row r="228" spans="1:20" x14ac:dyDescent="0.2">
      <c r="A228" s="196">
        <v>479</v>
      </c>
      <c r="B228" s="189" t="s">
        <v>142</v>
      </c>
      <c r="C228" s="189" t="s">
        <v>342</v>
      </c>
      <c r="D228" s="503" t="s">
        <v>290</v>
      </c>
      <c r="E228" s="508">
        <v>129</v>
      </c>
      <c r="F228" s="504" t="s">
        <v>264</v>
      </c>
      <c r="G228" s="504" t="s">
        <v>249</v>
      </c>
      <c r="H228" s="504" t="s">
        <v>243</v>
      </c>
      <c r="I228" s="504"/>
      <c r="J228" s="504"/>
      <c r="K228" s="179" t="str">
        <f>IF(ISBLANK(E228),"ručně doplnit",IF(E228="-","není ve výkazech",IF(C228="Rozvaha",VLOOKUP(E228,radky_R!$A:$B,2,0),IF(C228="Výsledovka",VLOOKUP(E228,radky_V!A:M,2,0)))))</f>
        <v>Závazky z obchodních vztahů</v>
      </c>
      <c r="R228" s="179" t="str">
        <f>IF(ISBLANK(L228),"není alternativa",IF(L228="-","není ve výkazech",VLOOKUP(L228,radky_R!$A:$B,2,0)))</f>
        <v>není alternativa</v>
      </c>
      <c r="S228" s="189" t="s">
        <v>253</v>
      </c>
      <c r="T228" s="189" t="s">
        <v>634</v>
      </c>
    </row>
    <row r="229" spans="1:20" x14ac:dyDescent="0.2">
      <c r="A229" s="196">
        <v>479</v>
      </c>
      <c r="B229" s="189" t="s">
        <v>142</v>
      </c>
      <c r="C229" s="189" t="s">
        <v>342</v>
      </c>
      <c r="D229" s="503" t="s">
        <v>290</v>
      </c>
      <c r="E229" s="508">
        <v>136</v>
      </c>
      <c r="F229" s="504" t="s">
        <v>264</v>
      </c>
      <c r="G229" s="504" t="s">
        <v>249</v>
      </c>
      <c r="H229" s="504" t="s">
        <v>247</v>
      </c>
      <c r="I229" s="504" t="s">
        <v>242</v>
      </c>
      <c r="J229" s="504"/>
      <c r="K229" s="179" t="str">
        <f>IF(ISBLANK(E229),"ručně doplnit",IF(E229="-","není ve výkazech",IF(C229="Rozvaha",VLOOKUP(E229,radky_R!$A:$B,2,0),IF(C229="Výsledovka",VLOOKUP(E229,radky_V!A:M,2,0)))))</f>
        <v>Závazky k zaměstnancům</v>
      </c>
      <c r="R229" s="179" t="str">
        <f>IF(ISBLANK(L229),"není alternativa",IF(L229="-","není ve výkazech",VLOOKUP(L229,radky_R!$A:$B,2,0)))</f>
        <v>není alternativa</v>
      </c>
      <c r="S229" s="189" t="s">
        <v>253</v>
      </c>
      <c r="T229" s="189" t="s">
        <v>634</v>
      </c>
    </row>
    <row r="230" spans="1:20" x14ac:dyDescent="0.2">
      <c r="A230" s="196">
        <v>479</v>
      </c>
      <c r="B230" s="189" t="s">
        <v>142</v>
      </c>
      <c r="C230" s="189" t="s">
        <v>342</v>
      </c>
      <c r="D230" s="503" t="s">
        <v>290</v>
      </c>
      <c r="E230" s="508">
        <v>140</v>
      </c>
      <c r="F230" s="504" t="s">
        <v>264</v>
      </c>
      <c r="G230" s="504" t="s">
        <v>249</v>
      </c>
      <c r="H230" s="504" t="s">
        <v>247</v>
      </c>
      <c r="I230" s="504" t="s">
        <v>246</v>
      </c>
      <c r="J230" s="504"/>
      <c r="K230" s="179" t="str">
        <f>IF(ISBLANK(E230),"ručně doplnit",IF(E230="-","není ve výkazech",IF(C230="Rozvaha",VLOOKUP(E230,radky_R!$A:$B,2,0),IF(C230="Výsledovka",VLOOKUP(E230,radky_V!A:M,2,0)))))</f>
        <v>Jiné závazky</v>
      </c>
      <c r="R230" s="179" t="str">
        <f>IF(ISBLANK(L230),"není alternativa",IF(L230="-","není ve výkazech",VLOOKUP(L230,radky_R!$A:$B,2,0)))</f>
        <v>není alternativa</v>
      </c>
      <c r="S230" s="189" t="s">
        <v>253</v>
      </c>
      <c r="T230" s="189" t="s">
        <v>634</v>
      </c>
    </row>
    <row r="231" spans="1:20" x14ac:dyDescent="0.2">
      <c r="A231" s="196">
        <v>479</v>
      </c>
      <c r="B231" s="189" t="s">
        <v>142</v>
      </c>
      <c r="C231" s="189" t="s">
        <v>342</v>
      </c>
      <c r="D231" s="503" t="s">
        <v>290</v>
      </c>
      <c r="E231" s="508">
        <v>114</v>
      </c>
      <c r="F231" s="504" t="s">
        <v>264</v>
      </c>
      <c r="G231" s="504" t="s">
        <v>239</v>
      </c>
      <c r="H231" s="504" t="s">
        <v>243</v>
      </c>
      <c r="I231" s="504"/>
      <c r="J231" s="504"/>
      <c r="K231" s="179" t="str">
        <f>IF(ISBLANK(E231),"ručně doplnit",IF(E231="-","není ve výkazech",IF(C231="Rozvaha",VLOOKUP(E231,radky_R!$A:$B,2,0),IF(C231="Výsledovka",VLOOKUP(E231,radky_V!A:M,2,0)))))</f>
        <v>Závazky z obchodních vztahů</v>
      </c>
      <c r="R231" s="179" t="str">
        <f>IF(ISBLANK(L231),"není alternativa",IF(L231="-","není ve výkazech",VLOOKUP(L231,radky_R!$A:$B,2,0)))</f>
        <v>není alternativa</v>
      </c>
      <c r="S231" s="189" t="s">
        <v>253</v>
      </c>
      <c r="T231" s="189" t="s">
        <v>634</v>
      </c>
    </row>
    <row r="232" spans="1:20" x14ac:dyDescent="0.2">
      <c r="A232" s="196">
        <v>481</v>
      </c>
      <c r="B232" s="189" t="s">
        <v>143</v>
      </c>
      <c r="C232" s="189" t="s">
        <v>342</v>
      </c>
      <c r="D232" s="503" t="s">
        <v>317</v>
      </c>
      <c r="E232" s="508">
        <v>51</v>
      </c>
      <c r="F232" s="504" t="s">
        <v>264</v>
      </c>
      <c r="G232" s="504" t="s">
        <v>249</v>
      </c>
      <c r="H232" s="504" t="s">
        <v>240</v>
      </c>
      <c r="I232" s="504" t="s">
        <v>243</v>
      </c>
      <c r="J232" s="504"/>
      <c r="K232" s="179" t="str">
        <f>IF(ISBLANK(E232),"ručně doplnit",IF(E232="-","není ve výkazech",IF(C232="Rozvaha",VLOOKUP(E232,radky_R!$A:$B,2,0),IF(C232="Výsledovka",VLOOKUP(E232,radky_V!A:M,2,0)))))</f>
        <v>Odložená daňová pohledávka</v>
      </c>
      <c r="L232" s="508">
        <v>118</v>
      </c>
      <c r="M232" s="504" t="s">
        <v>264</v>
      </c>
      <c r="N232" s="504" t="s">
        <v>239</v>
      </c>
      <c r="O232" s="504" t="s">
        <v>247</v>
      </c>
      <c r="P232" s="504"/>
      <c r="Q232" s="504"/>
      <c r="R232" s="179" t="str">
        <f>IF(ISBLANK(L232),"není alternativa",IF(L232="-","není ve výkazech",VLOOKUP(L232,radky_R!$A:$B,2,0)))</f>
        <v>Odložený daňový závazek</v>
      </c>
      <c r="S232" s="189" t="s">
        <v>253</v>
      </c>
      <c r="T232" s="189" t="s">
        <v>639</v>
      </c>
    </row>
    <row r="233" spans="1:20" x14ac:dyDescent="0.2">
      <c r="A233" s="196">
        <v>491</v>
      </c>
      <c r="B233" s="189" t="s">
        <v>144</v>
      </c>
      <c r="C233" s="189" t="s">
        <v>342</v>
      </c>
      <c r="D233" s="503" t="s">
        <v>290</v>
      </c>
      <c r="E233" s="508">
        <v>81</v>
      </c>
      <c r="F233" s="504" t="s">
        <v>237</v>
      </c>
      <c r="G233" s="504" t="s">
        <v>239</v>
      </c>
      <c r="H233" s="504" t="s">
        <v>240</v>
      </c>
      <c r="I233" s="504"/>
      <c r="J233" s="504"/>
      <c r="K233" s="179" t="str">
        <f>IF(ISBLANK(E233),"ručně doplnit",IF(E233="-","není ve výkazech",IF(C233="Rozvaha",VLOOKUP(E233,radky_R!$A:$B,2,0),IF(C233="Výsledovka",VLOOKUP(E233,radky_V!A:M,2,0)))))</f>
        <v>Základní kapitál</v>
      </c>
      <c r="R233" s="179" t="str">
        <f>IF(ISBLANK(L233),"není alternativa",IF(L233="-","není ve výkazech",VLOOKUP(L233,radky_R!$A:$B,2,0)))</f>
        <v>není alternativa</v>
      </c>
      <c r="S233" s="189" t="s">
        <v>253</v>
      </c>
      <c r="T233" s="189" t="s">
        <v>634</v>
      </c>
    </row>
    <row r="234" spans="1:20" x14ac:dyDescent="0.2">
      <c r="A234" s="196">
        <v>501</v>
      </c>
      <c r="B234" s="189" t="s">
        <v>145</v>
      </c>
      <c r="C234" s="189" t="s">
        <v>510</v>
      </c>
      <c r="D234" s="503" t="s">
        <v>318</v>
      </c>
      <c r="E234" s="508">
        <v>5</v>
      </c>
      <c r="F234" s="504" t="s">
        <v>237</v>
      </c>
      <c r="G234" s="504" t="s">
        <v>241</v>
      </c>
      <c r="H234" s="504"/>
      <c r="I234" s="504"/>
      <c r="J234" s="504"/>
      <c r="K234" s="179" t="str">
        <f>IF(ISBLANK(E234),"ručně doplnit",IF(E234="-","není ve výkazech",IF(C234="Rozvaha",VLOOKUP(E234,radky_R!$A:$B,2,0),IF(C234="Výsledovka",VLOOKUP(E234,radky_V!A:M,2,0)))))</f>
        <v>Spotřeba materiálu a energie</v>
      </c>
      <c r="R234" s="179" t="str">
        <f>IF(ISBLANK(L234),"není alternativa",IF(L234="-","není ve výkazech",VLOOKUP(L234,radky_R!$A:$B,2,0)))</f>
        <v>není alternativa</v>
      </c>
      <c r="S234" s="189" t="s">
        <v>261</v>
      </c>
      <c r="T234" s="189" t="s">
        <v>637</v>
      </c>
    </row>
    <row r="235" spans="1:20" x14ac:dyDescent="0.2">
      <c r="A235" s="196">
        <v>502</v>
      </c>
      <c r="B235" s="189" t="s">
        <v>146</v>
      </c>
      <c r="C235" s="189" t="s">
        <v>510</v>
      </c>
      <c r="D235" s="503" t="s">
        <v>318</v>
      </c>
      <c r="E235" s="508">
        <v>5</v>
      </c>
      <c r="F235" s="504" t="s">
        <v>237</v>
      </c>
      <c r="G235" s="504" t="s">
        <v>241</v>
      </c>
      <c r="H235" s="504"/>
      <c r="I235" s="504"/>
      <c r="J235" s="504"/>
      <c r="K235" s="179" t="str">
        <f>IF(ISBLANK(E235),"ručně doplnit",IF(E235="-","není ve výkazech",IF(C235="Rozvaha",VLOOKUP(E235,radky_R!$A:$B,2,0),IF(C235="Výsledovka",VLOOKUP(E235,radky_V!A:M,2,0)))))</f>
        <v>Spotřeba materiálu a energie</v>
      </c>
      <c r="R235" s="179" t="str">
        <f>IF(ISBLANK(L235),"není alternativa",IF(L235="-","není ve výkazech",VLOOKUP(L235,radky_R!$A:$B,2,0)))</f>
        <v>není alternativa</v>
      </c>
      <c r="S235" s="189" t="s">
        <v>261</v>
      </c>
      <c r="T235" s="189" t="s">
        <v>637</v>
      </c>
    </row>
    <row r="236" spans="1:20" x14ac:dyDescent="0.2">
      <c r="A236" s="196">
        <v>503</v>
      </c>
      <c r="B236" s="189" t="s">
        <v>147</v>
      </c>
      <c r="C236" s="189" t="s">
        <v>510</v>
      </c>
      <c r="D236" s="503" t="s">
        <v>318</v>
      </c>
      <c r="E236" s="508">
        <v>5</v>
      </c>
      <c r="F236" s="504" t="s">
        <v>237</v>
      </c>
      <c r="G236" s="504" t="s">
        <v>241</v>
      </c>
      <c r="H236" s="504"/>
      <c r="I236" s="504"/>
      <c r="J236" s="504"/>
      <c r="K236" s="179" t="str">
        <f>IF(ISBLANK(E236),"ručně doplnit",IF(E236="-","není ve výkazech",IF(C236="Rozvaha",VLOOKUP(E236,radky_R!$A:$B,2,0),IF(C236="Výsledovka",VLOOKUP(E236,radky_V!A:M,2,0)))))</f>
        <v>Spotřeba materiálu a energie</v>
      </c>
      <c r="R236" s="179" t="str">
        <f>IF(ISBLANK(L236),"není alternativa",IF(L236="-","není ve výkazech",VLOOKUP(L236,radky_R!$A:$B,2,0)))</f>
        <v>není alternativa</v>
      </c>
      <c r="S236" s="189" t="s">
        <v>261</v>
      </c>
      <c r="T236" s="189" t="s">
        <v>637</v>
      </c>
    </row>
    <row r="237" spans="1:20" x14ac:dyDescent="0.2">
      <c r="A237" s="196">
        <v>504</v>
      </c>
      <c r="B237" s="189" t="s">
        <v>148</v>
      </c>
      <c r="C237" s="189" t="s">
        <v>510</v>
      </c>
      <c r="D237" s="503" t="s">
        <v>318</v>
      </c>
      <c r="E237" s="508">
        <v>4</v>
      </c>
      <c r="F237" s="504" t="s">
        <v>237</v>
      </c>
      <c r="G237" s="504" t="s">
        <v>240</v>
      </c>
      <c r="H237" s="504"/>
      <c r="I237" s="504"/>
      <c r="J237" s="504"/>
      <c r="K237" s="179" t="str">
        <f>IF(ISBLANK(E237),"ručně doplnit",IF(E237="-","není ve výkazech",IF(C237="Rozvaha",VLOOKUP(E237,radky_R!$A:$B,2,0),IF(C237="Výsledovka",VLOOKUP(E237,radky_V!A:M,2,0)))))</f>
        <v>Náklady vynaložené na prodané zboží</v>
      </c>
      <c r="R237" s="179" t="str">
        <f>IF(ISBLANK(L237),"není alternativa",IF(L237="-","není ve výkazech",VLOOKUP(L237,radky_R!$A:$B,2,0)))</f>
        <v>není alternativa</v>
      </c>
      <c r="S237" s="189" t="s">
        <v>261</v>
      </c>
      <c r="T237" s="189" t="s">
        <v>637</v>
      </c>
    </row>
    <row r="238" spans="1:20" x14ac:dyDescent="0.2">
      <c r="A238" s="196">
        <v>510</v>
      </c>
      <c r="B238" s="189" t="s">
        <v>149</v>
      </c>
      <c r="C238" s="189" t="s">
        <v>510</v>
      </c>
      <c r="D238" s="503" t="s">
        <v>318</v>
      </c>
      <c r="E238" s="508">
        <v>6</v>
      </c>
      <c r="F238" s="504" t="s">
        <v>237</v>
      </c>
      <c r="G238" s="504" t="s">
        <v>242</v>
      </c>
      <c r="H238" s="504"/>
      <c r="I238" s="504"/>
      <c r="J238" s="504"/>
      <c r="K238" s="179" t="str">
        <f>IF(ISBLANK(E238),"ručně doplnit",IF(E238="-","není ve výkazech",IF(C238="Rozvaha",VLOOKUP(E238,radky_R!$A:$B,2,0),IF(C238="Výsledovka",VLOOKUP(E238,radky_V!A:M,2,0)))))</f>
        <v>Služby</v>
      </c>
      <c r="R238" s="179" t="str">
        <f>IF(ISBLANK(L238),"není alternativa",IF(L238="-","není ve výkazech",VLOOKUP(L238,radky_R!$A:$B,2,0)))</f>
        <v>není alternativa</v>
      </c>
      <c r="S238" s="189" t="s">
        <v>261</v>
      </c>
      <c r="T238" s="189" t="s">
        <v>637</v>
      </c>
    </row>
    <row r="239" spans="1:20" x14ac:dyDescent="0.2">
      <c r="A239" s="196">
        <v>511</v>
      </c>
      <c r="B239" s="189" t="s">
        <v>150</v>
      </c>
      <c r="C239" s="189" t="s">
        <v>510</v>
      </c>
      <c r="D239" s="503" t="s">
        <v>318</v>
      </c>
      <c r="E239" s="508">
        <v>6</v>
      </c>
      <c r="F239" s="504" t="s">
        <v>237</v>
      </c>
      <c r="G239" s="504" t="s">
        <v>242</v>
      </c>
      <c r="H239" s="504"/>
      <c r="I239" s="504"/>
      <c r="J239" s="504"/>
      <c r="K239" s="179" t="str">
        <f>IF(ISBLANK(E239),"ručně doplnit",IF(E239="-","není ve výkazech",IF(C239="Rozvaha",VLOOKUP(E239,radky_R!$A:$B,2,0),IF(C239="Výsledovka",VLOOKUP(E239,radky_V!A:M,2,0)))))</f>
        <v>Služby</v>
      </c>
      <c r="R239" s="179" t="str">
        <f>IF(ISBLANK(L239),"není alternativa",IF(L239="-","není ve výkazech",VLOOKUP(L239,radky_R!$A:$B,2,0)))</f>
        <v>není alternativa</v>
      </c>
      <c r="S239" s="189" t="s">
        <v>261</v>
      </c>
      <c r="T239" s="189" t="s">
        <v>633</v>
      </c>
    </row>
    <row r="240" spans="1:20" x14ac:dyDescent="0.2">
      <c r="A240" s="196">
        <v>512</v>
      </c>
      <c r="B240" s="189" t="s">
        <v>151</v>
      </c>
      <c r="C240" s="189" t="s">
        <v>510</v>
      </c>
      <c r="D240" s="503" t="s">
        <v>318</v>
      </c>
      <c r="E240" s="508">
        <v>6</v>
      </c>
      <c r="F240" s="504" t="s">
        <v>237</v>
      </c>
      <c r="G240" s="504" t="s">
        <v>242</v>
      </c>
      <c r="H240" s="504"/>
      <c r="I240" s="504"/>
      <c r="J240" s="504"/>
      <c r="K240" s="179" t="str">
        <f>IF(ISBLANK(E240),"ručně doplnit",IF(E240="-","není ve výkazech",IF(C240="Rozvaha",VLOOKUP(E240,radky_R!$A:$B,2,0),IF(C240="Výsledovka",VLOOKUP(E240,radky_V!A:M,2,0)))))</f>
        <v>Služby</v>
      </c>
      <c r="R240" s="179" t="str">
        <f>IF(ISBLANK(L240),"není alternativa",IF(L240="-","není ve výkazech",VLOOKUP(L240,radky_R!$A:$B,2,0)))</f>
        <v>není alternativa</v>
      </c>
      <c r="S240" s="189" t="s">
        <v>261</v>
      </c>
      <c r="T240" s="189" t="s">
        <v>638</v>
      </c>
    </row>
    <row r="241" spans="1:20" x14ac:dyDescent="0.2">
      <c r="A241" s="196">
        <v>513</v>
      </c>
      <c r="B241" s="189" t="s">
        <v>152</v>
      </c>
      <c r="C241" s="189" t="s">
        <v>510</v>
      </c>
      <c r="D241" s="503" t="s">
        <v>303</v>
      </c>
      <c r="E241" s="508">
        <v>6</v>
      </c>
      <c r="F241" s="504" t="s">
        <v>237</v>
      </c>
      <c r="G241" s="504" t="s">
        <v>242</v>
      </c>
      <c r="H241" s="504"/>
      <c r="I241" s="504"/>
      <c r="J241" s="504"/>
      <c r="K241" s="179" t="str">
        <f>IF(ISBLANK(E241),"ručně doplnit",IF(E241="-","není ve výkazech",IF(C241="Rozvaha",VLOOKUP(E241,radky_R!$A:$B,2,0),IF(C241="Výsledovka",VLOOKUP(E241,radky_V!A:M,2,0)))))</f>
        <v>Služby</v>
      </c>
      <c r="R241" s="179" t="str">
        <f>IF(ISBLANK(L241),"není alternativa",IF(L241="-","není ve výkazech",VLOOKUP(L241,radky_R!$A:$B,2,0)))</f>
        <v>není alternativa</v>
      </c>
      <c r="S241" s="189" t="s">
        <v>261</v>
      </c>
      <c r="T241" s="189" t="s">
        <v>637</v>
      </c>
    </row>
    <row r="242" spans="1:20" x14ac:dyDescent="0.2">
      <c r="A242" s="196">
        <v>518</v>
      </c>
      <c r="B242" s="189" t="s">
        <v>153</v>
      </c>
      <c r="C242" s="189" t="s">
        <v>510</v>
      </c>
      <c r="D242" s="503" t="s">
        <v>318</v>
      </c>
      <c r="E242" s="508">
        <v>6</v>
      </c>
      <c r="F242" s="504" t="s">
        <v>237</v>
      </c>
      <c r="G242" s="504" t="s">
        <v>242</v>
      </c>
      <c r="H242" s="504"/>
      <c r="I242" s="504"/>
      <c r="J242" s="504"/>
      <c r="K242" s="179" t="str">
        <f>IF(ISBLANK(E242),"ručně doplnit",IF(E242="-","není ve výkazech",IF(C242="Rozvaha",VLOOKUP(E242,radky_R!$A:$B,2,0),IF(C242="Výsledovka",VLOOKUP(E242,radky_V!A:M,2,0)))))</f>
        <v>Služby</v>
      </c>
      <c r="R242" s="179" t="str">
        <f>IF(ISBLANK(L242),"není alternativa",IF(L242="-","není ve výkazech",VLOOKUP(L242,radky_R!$A:$B,2,0)))</f>
        <v>není alternativa</v>
      </c>
      <c r="S242" s="189" t="s">
        <v>261</v>
      </c>
      <c r="T242" s="189" t="s">
        <v>637</v>
      </c>
    </row>
    <row r="243" spans="1:20" x14ac:dyDescent="0.2">
      <c r="A243" s="196">
        <v>521</v>
      </c>
      <c r="B243" s="189" t="s">
        <v>154</v>
      </c>
      <c r="C243" s="189" t="s">
        <v>510</v>
      </c>
      <c r="D243" s="503" t="s">
        <v>318</v>
      </c>
      <c r="E243" s="508">
        <v>10</v>
      </c>
      <c r="F243" s="504" t="s">
        <v>273</v>
      </c>
      <c r="G243" s="504" t="s">
        <v>240</v>
      </c>
      <c r="H243" s="504"/>
      <c r="I243" s="504"/>
      <c r="J243" s="504"/>
      <c r="K243" s="179" t="str">
        <f>IF(ISBLANK(E243),"ručně doplnit",IF(E243="-","není ve výkazech",IF(C243="Rozvaha",VLOOKUP(E243,radky_R!$A:$B,2,0),IF(C243="Výsledovka",VLOOKUP(E243,radky_V!A:M,2,0)))))</f>
        <v>Mzdové náklady</v>
      </c>
      <c r="R243" s="179" t="str">
        <f>IF(ISBLANK(L243),"není alternativa",IF(L243="-","není ve výkazech",VLOOKUP(L243,radky_R!$A:$B,2,0)))</f>
        <v>není alternativa</v>
      </c>
      <c r="S243" s="189" t="s">
        <v>261</v>
      </c>
      <c r="T243" s="189" t="s">
        <v>638</v>
      </c>
    </row>
    <row r="244" spans="1:20" x14ac:dyDescent="0.2">
      <c r="A244" s="196">
        <v>522</v>
      </c>
      <c r="B244" s="189" t="s">
        <v>155</v>
      </c>
      <c r="C244" s="189" t="s">
        <v>510</v>
      </c>
      <c r="D244" s="503" t="s">
        <v>318</v>
      </c>
      <c r="E244" s="508">
        <v>10</v>
      </c>
      <c r="F244" s="504" t="s">
        <v>273</v>
      </c>
      <c r="G244" s="504" t="s">
        <v>240</v>
      </c>
      <c r="H244" s="504"/>
      <c r="I244" s="504"/>
      <c r="J244" s="504"/>
      <c r="K244" s="179" t="str">
        <f>IF(ISBLANK(E244),"ručně doplnit",IF(E244="-","není ve výkazech",IF(C244="Rozvaha",VLOOKUP(E244,radky_R!$A:$B,2,0),IF(C244="Výsledovka",VLOOKUP(E244,radky_V!A:M,2,0)))))</f>
        <v>Mzdové náklady</v>
      </c>
      <c r="R244" s="179" t="str">
        <f>IF(ISBLANK(L244),"není alternativa",IF(L244="-","není ve výkazech",VLOOKUP(L244,radky_R!$A:$B,2,0)))</f>
        <v>není alternativa</v>
      </c>
      <c r="S244" s="189" t="s">
        <v>261</v>
      </c>
      <c r="T244" s="189" t="s">
        <v>638</v>
      </c>
    </row>
    <row r="245" spans="1:20" x14ac:dyDescent="0.2">
      <c r="A245" s="196">
        <v>523</v>
      </c>
      <c r="B245" s="189" t="s">
        <v>156</v>
      </c>
      <c r="C245" s="189" t="s">
        <v>510</v>
      </c>
      <c r="D245" s="503" t="s">
        <v>303</v>
      </c>
      <c r="E245" s="508">
        <v>10</v>
      </c>
      <c r="F245" s="504" t="s">
        <v>273</v>
      </c>
      <c r="G245" s="504" t="s">
        <v>240</v>
      </c>
      <c r="H245" s="504"/>
      <c r="I245" s="504"/>
      <c r="J245" s="504"/>
      <c r="K245" s="179" t="str">
        <f>IF(ISBLANK(E245),"ručně doplnit",IF(E245="-","není ve výkazech",IF(C245="Rozvaha",VLOOKUP(E245,radky_R!$A:$B,2,0),IF(C245="Výsledovka",VLOOKUP(E245,radky_V!A:M,2,0)))))</f>
        <v>Mzdové náklady</v>
      </c>
      <c r="R245" s="179" t="str">
        <f>IF(ISBLANK(L245),"není alternativa",IF(L245="-","není ve výkazech",VLOOKUP(L245,radky_R!$A:$B,2,0)))</f>
        <v>není alternativa</v>
      </c>
      <c r="S245" s="189" t="s">
        <v>261</v>
      </c>
      <c r="T245" s="189" t="s">
        <v>638</v>
      </c>
    </row>
    <row r="246" spans="1:20" x14ac:dyDescent="0.2">
      <c r="A246" s="196">
        <v>524</v>
      </c>
      <c r="B246" s="189" t="s">
        <v>157</v>
      </c>
      <c r="C246" s="189" t="s">
        <v>510</v>
      </c>
      <c r="D246" s="503" t="s">
        <v>318</v>
      </c>
      <c r="E246" s="508">
        <v>12</v>
      </c>
      <c r="F246" s="504" t="s">
        <v>273</v>
      </c>
      <c r="G246" s="504" t="s">
        <v>241</v>
      </c>
      <c r="H246" s="504" t="s">
        <v>240</v>
      </c>
      <c r="I246" s="504"/>
      <c r="J246" s="504"/>
      <c r="K246" s="179" t="str">
        <f>IF(ISBLANK(E246),"ručně doplnit",IF(E246="-","není ve výkazech",IF(C246="Rozvaha",VLOOKUP(E246,radky_R!$A:$B,2,0),IF(C246="Výsledovka",VLOOKUP(E246,radky_V!A:M,2,0)))))</f>
        <v>Náklady na sociální zabezpečení a zdravotní pojištění</v>
      </c>
      <c r="R246" s="179" t="str">
        <f>IF(ISBLANK(L246),"není alternativa",IF(L246="-","není ve výkazech",VLOOKUP(L246,radky_R!$A:$B,2,0)))</f>
        <v>není alternativa</v>
      </c>
      <c r="S246" s="189" t="s">
        <v>261</v>
      </c>
      <c r="T246" s="189" t="s">
        <v>638</v>
      </c>
    </row>
    <row r="247" spans="1:20" x14ac:dyDescent="0.2">
      <c r="A247" s="196">
        <v>525</v>
      </c>
      <c r="B247" s="189" t="s">
        <v>158</v>
      </c>
      <c r="C247" s="189" t="s">
        <v>510</v>
      </c>
      <c r="D247" s="503" t="s">
        <v>303</v>
      </c>
      <c r="E247" s="508">
        <v>12</v>
      </c>
      <c r="F247" s="504" t="s">
        <v>273</v>
      </c>
      <c r="G247" s="504" t="s">
        <v>241</v>
      </c>
      <c r="H247" s="504" t="s">
        <v>240</v>
      </c>
      <c r="I247" s="504"/>
      <c r="J247" s="504"/>
      <c r="K247" s="179" t="str">
        <f>IF(ISBLANK(E247),"ručně doplnit",IF(E247="-","není ve výkazech",IF(C247="Rozvaha",VLOOKUP(E247,radky_R!$A:$B,2,0),IF(C247="Výsledovka",VLOOKUP(E247,radky_V!A:M,2,0)))))</f>
        <v>Náklady na sociální zabezpečení a zdravotní pojištění</v>
      </c>
      <c r="R247" s="179" t="str">
        <f>IF(ISBLANK(L247),"není alternativa",IF(L247="-","není ve výkazech",VLOOKUP(L247,radky_R!$A:$B,2,0)))</f>
        <v>není alternativa</v>
      </c>
      <c r="S247" s="189" t="s">
        <v>261</v>
      </c>
      <c r="T247" s="189" t="s">
        <v>638</v>
      </c>
    </row>
    <row r="248" spans="1:20" x14ac:dyDescent="0.2">
      <c r="A248" s="196">
        <v>526</v>
      </c>
      <c r="B248" s="189" t="s">
        <v>159</v>
      </c>
      <c r="C248" s="189" t="s">
        <v>510</v>
      </c>
      <c r="D248" s="503" t="s">
        <v>303</v>
      </c>
      <c r="E248" s="508">
        <v>12</v>
      </c>
      <c r="F248" s="504" t="s">
        <v>273</v>
      </c>
      <c r="G248" s="504" t="s">
        <v>241</v>
      </c>
      <c r="H248" s="504" t="s">
        <v>240</v>
      </c>
      <c r="I248" s="504"/>
      <c r="J248" s="504"/>
      <c r="K248" s="179" t="str">
        <f>IF(ISBLANK(E248),"ručně doplnit",IF(E248="-","není ve výkazech",IF(C248="Rozvaha",VLOOKUP(E248,radky_R!$A:$B,2,0),IF(C248="Výsledovka",VLOOKUP(E248,radky_V!A:M,2,0)))))</f>
        <v>Náklady na sociální zabezpečení a zdravotní pojištění</v>
      </c>
      <c r="R248" s="179" t="str">
        <f>IF(ISBLANK(L248),"není alternativa",IF(L248="-","není ve výkazech",VLOOKUP(L248,radky_R!$A:$B,2,0)))</f>
        <v>není alternativa</v>
      </c>
      <c r="S248" s="189" t="s">
        <v>261</v>
      </c>
      <c r="T248" s="189" t="s">
        <v>638</v>
      </c>
    </row>
    <row r="249" spans="1:20" x14ac:dyDescent="0.2">
      <c r="A249" s="196">
        <v>527</v>
      </c>
      <c r="B249" s="189" t="s">
        <v>160</v>
      </c>
      <c r="C249" s="189" t="s">
        <v>510</v>
      </c>
      <c r="D249" s="503" t="s">
        <v>318</v>
      </c>
      <c r="E249" s="508">
        <v>13</v>
      </c>
      <c r="F249" s="504" t="s">
        <v>273</v>
      </c>
      <c r="G249" s="504" t="s">
        <v>241</v>
      </c>
      <c r="H249" s="504" t="s">
        <v>241</v>
      </c>
      <c r="I249" s="504"/>
      <c r="J249" s="504"/>
      <c r="K249" s="179" t="str">
        <f>IF(ISBLANK(E249),"ručně doplnit",IF(E249="-","není ve výkazech",IF(C249="Rozvaha",VLOOKUP(E249,radky_R!$A:$B,2,0),IF(C249="Výsledovka",VLOOKUP(E249,radky_V!A:M,2,0)))))</f>
        <v>Ostatní náklady</v>
      </c>
      <c r="R249" s="179" t="str">
        <f>IF(ISBLANK(L249),"není alternativa",IF(L249="-","není ve výkazech",VLOOKUP(L249,radky_R!$A:$B,2,0)))</f>
        <v>není alternativa</v>
      </c>
      <c r="S249" s="189" t="s">
        <v>261</v>
      </c>
      <c r="T249" s="189" t="s">
        <v>638</v>
      </c>
    </row>
    <row r="250" spans="1:20" x14ac:dyDescent="0.2">
      <c r="A250" s="196">
        <v>528</v>
      </c>
      <c r="B250" s="189" t="s">
        <v>161</v>
      </c>
      <c r="C250" s="189" t="s">
        <v>510</v>
      </c>
      <c r="D250" s="503" t="s">
        <v>303</v>
      </c>
      <c r="E250" s="508">
        <v>13</v>
      </c>
      <c r="F250" s="504" t="s">
        <v>273</v>
      </c>
      <c r="G250" s="504" t="s">
        <v>241</v>
      </c>
      <c r="H250" s="504" t="s">
        <v>241</v>
      </c>
      <c r="I250" s="504"/>
      <c r="J250" s="504"/>
      <c r="K250" s="179" t="str">
        <f>IF(ISBLANK(E250),"ručně doplnit",IF(E250="-","není ve výkazech",IF(C250="Rozvaha",VLOOKUP(E250,radky_R!$A:$B,2,0),IF(C250="Výsledovka",VLOOKUP(E250,radky_V!A:M,2,0)))))</f>
        <v>Ostatní náklady</v>
      </c>
      <c r="R250" s="179" t="str">
        <f>IF(ISBLANK(L250),"není alternativa",IF(L250="-","není ve výkazech",VLOOKUP(L250,radky_R!$A:$B,2,0)))</f>
        <v>není alternativa</v>
      </c>
      <c r="S250" s="189" t="s">
        <v>261</v>
      </c>
      <c r="T250" s="189" t="s">
        <v>638</v>
      </c>
    </row>
    <row r="251" spans="1:20" x14ac:dyDescent="0.2">
      <c r="A251" s="196">
        <v>530</v>
      </c>
      <c r="B251" s="189" t="s">
        <v>162</v>
      </c>
      <c r="C251" s="189" t="s">
        <v>510</v>
      </c>
      <c r="D251" s="503" t="s">
        <v>318</v>
      </c>
      <c r="E251" s="508">
        <v>27</v>
      </c>
      <c r="F251" s="504" t="s">
        <v>311</v>
      </c>
      <c r="G251" s="504" t="s">
        <v>242</v>
      </c>
      <c r="H251" s="504"/>
      <c r="I251" s="504"/>
      <c r="J251" s="504"/>
      <c r="K251" s="179" t="str">
        <f>IF(ISBLANK(E251),"ručně doplnit",IF(E251="-","není ve výkazech",IF(C251="Rozvaha",VLOOKUP(E251,radky_R!$A:$B,2,0),IF(C251="Výsledovka",VLOOKUP(E251,radky_V!A:M,2,0)))))</f>
        <v>Daně a poplatky</v>
      </c>
      <c r="R251" s="179" t="str">
        <f>IF(ISBLANK(L251),"není alternativa",IF(L251="-","není ve výkazech",VLOOKUP(L251,radky_R!$A:$B,2,0)))</f>
        <v>není alternativa</v>
      </c>
      <c r="S251" s="189" t="s">
        <v>261</v>
      </c>
      <c r="T251" s="189" t="s">
        <v>639</v>
      </c>
    </row>
    <row r="252" spans="1:20" x14ac:dyDescent="0.2">
      <c r="A252" s="196">
        <v>531</v>
      </c>
      <c r="B252" s="189" t="s">
        <v>163</v>
      </c>
      <c r="C252" s="189" t="s">
        <v>510</v>
      </c>
      <c r="D252" s="503" t="s">
        <v>318</v>
      </c>
      <c r="E252" s="508">
        <v>27</v>
      </c>
      <c r="F252" s="504" t="s">
        <v>311</v>
      </c>
      <c r="G252" s="504" t="s">
        <v>242</v>
      </c>
      <c r="H252" s="504"/>
      <c r="I252" s="504"/>
      <c r="J252" s="504"/>
      <c r="K252" s="179" t="str">
        <f>IF(ISBLANK(E252),"ručně doplnit",IF(E252="-","není ve výkazech",IF(C252="Rozvaha",VLOOKUP(E252,radky_R!$A:$B,2,0),IF(C252="Výsledovka",VLOOKUP(E252,radky_V!A:M,2,0)))))</f>
        <v>Daně a poplatky</v>
      </c>
      <c r="R252" s="179" t="str">
        <f>IF(ISBLANK(L252),"není alternativa",IF(L252="-","není ve výkazech",VLOOKUP(L252,radky_R!$A:$B,2,0)))</f>
        <v>není alternativa</v>
      </c>
      <c r="S252" s="189" t="s">
        <v>261</v>
      </c>
      <c r="T252" s="189" t="s">
        <v>639</v>
      </c>
    </row>
    <row r="253" spans="1:20" x14ac:dyDescent="0.2">
      <c r="A253" s="196">
        <v>532</v>
      </c>
      <c r="B253" s="189" t="s">
        <v>164</v>
      </c>
      <c r="C253" s="189" t="s">
        <v>510</v>
      </c>
      <c r="D253" s="503" t="s">
        <v>318</v>
      </c>
      <c r="E253" s="508">
        <v>27</v>
      </c>
      <c r="F253" s="504" t="s">
        <v>311</v>
      </c>
      <c r="G253" s="504" t="s">
        <v>242</v>
      </c>
      <c r="H253" s="504"/>
      <c r="I253" s="504"/>
      <c r="J253" s="504"/>
      <c r="K253" s="179" t="str">
        <f>IF(ISBLANK(E253),"ručně doplnit",IF(E253="-","není ve výkazech",IF(C253="Rozvaha",VLOOKUP(E253,radky_R!$A:$B,2,0),IF(C253="Výsledovka",VLOOKUP(E253,radky_V!A:M,2,0)))))</f>
        <v>Daně a poplatky</v>
      </c>
      <c r="R253" s="179" t="str">
        <f>IF(ISBLANK(L253),"není alternativa",IF(L253="-","není ve výkazech",VLOOKUP(L253,radky_R!$A:$B,2,0)))</f>
        <v>není alternativa</v>
      </c>
      <c r="S253" s="189" t="s">
        <v>261</v>
      </c>
      <c r="T253" s="189" t="s">
        <v>639</v>
      </c>
    </row>
    <row r="254" spans="1:20" x14ac:dyDescent="0.2">
      <c r="A254" s="196">
        <v>538</v>
      </c>
      <c r="B254" s="189" t="s">
        <v>83</v>
      </c>
      <c r="C254" s="189" t="s">
        <v>510</v>
      </c>
      <c r="D254" s="503" t="s">
        <v>318</v>
      </c>
      <c r="E254" s="508">
        <v>27</v>
      </c>
      <c r="F254" s="504" t="s">
        <v>311</v>
      </c>
      <c r="G254" s="504" t="s">
        <v>242</v>
      </c>
      <c r="H254" s="504"/>
      <c r="I254" s="504"/>
      <c r="J254" s="504"/>
      <c r="K254" s="179" t="str">
        <f>IF(ISBLANK(E254),"ručně doplnit",IF(E254="-","není ve výkazech",IF(C254="Rozvaha",VLOOKUP(E254,radky_R!$A:$B,2,0),IF(C254="Výsledovka",VLOOKUP(E254,radky_V!A:M,2,0)))))</f>
        <v>Daně a poplatky</v>
      </c>
      <c r="R254" s="179" t="str">
        <f>IF(ISBLANK(L254),"není alternativa",IF(L254="-","není ve výkazech",VLOOKUP(L254,radky_R!$A:$B,2,0)))</f>
        <v>není alternativa</v>
      </c>
      <c r="S254" s="189" t="s">
        <v>261</v>
      </c>
      <c r="T254" s="189" t="s">
        <v>639</v>
      </c>
    </row>
    <row r="255" spans="1:20" x14ac:dyDescent="0.2">
      <c r="A255" s="196">
        <v>541</v>
      </c>
      <c r="B255" s="189" t="s">
        <v>165</v>
      </c>
      <c r="C255" s="189" t="s">
        <v>510</v>
      </c>
      <c r="D255" s="503" t="s">
        <v>318</v>
      </c>
      <c r="E255" s="508">
        <v>25</v>
      </c>
      <c r="F255" s="504" t="s">
        <v>311</v>
      </c>
      <c r="G255" s="504" t="s">
        <v>240</v>
      </c>
      <c r="H255" s="504"/>
      <c r="I255" s="504"/>
      <c r="J255" s="504"/>
      <c r="K255" s="179" t="str">
        <f>IF(ISBLANK(E255),"ručně doplnit",IF(E255="-","není ve výkazech",IF(C255="Rozvaha",VLOOKUP(E255,radky_R!$A:$B,2,0),IF(C255="Výsledovka",VLOOKUP(E255,radky_V!A:M,2,0)))))</f>
        <v>Zůstatková cena prodaného dlouhodobého majetku</v>
      </c>
      <c r="R255" s="179" t="str">
        <f>IF(ISBLANK(L255),"není alternativa",IF(L255="-","není ve výkazech",VLOOKUP(L255,radky_R!$A:$B,2,0)))</f>
        <v>není alternativa</v>
      </c>
      <c r="S255" s="189" t="s">
        <v>261</v>
      </c>
      <c r="T255" s="189" t="s">
        <v>633</v>
      </c>
    </row>
    <row r="256" spans="1:20" x14ac:dyDescent="0.2">
      <c r="A256" s="196">
        <v>542</v>
      </c>
      <c r="B256" s="189" t="s">
        <v>166</v>
      </c>
      <c r="C256" s="189" t="s">
        <v>510</v>
      </c>
      <c r="D256" s="503" t="s">
        <v>318</v>
      </c>
      <c r="E256" s="508">
        <v>26</v>
      </c>
      <c r="F256" s="504" t="s">
        <v>311</v>
      </c>
      <c r="G256" s="504" t="s">
        <v>241</v>
      </c>
      <c r="H256" s="504"/>
      <c r="I256" s="504"/>
      <c r="J256" s="504"/>
      <c r="K256" s="179" t="str">
        <f>IF(ISBLANK(E256),"ručně doplnit",IF(E256="-","není ve výkazech",IF(C256="Rozvaha",VLOOKUP(E256,radky_R!$A:$B,2,0),IF(C256="Výsledovka",VLOOKUP(E256,radky_V!A:M,2,0)))))</f>
        <v>Zůstatková cena prodaného materiálu</v>
      </c>
      <c r="R256" s="179" t="str">
        <f>IF(ISBLANK(L256),"není alternativa",IF(L256="-","není ve výkazech",VLOOKUP(L256,radky_R!$A:$B,2,0)))</f>
        <v>není alternativa</v>
      </c>
      <c r="S256" s="189" t="s">
        <v>261</v>
      </c>
      <c r="T256" s="189" t="s">
        <v>635</v>
      </c>
    </row>
    <row r="257" spans="1:20" x14ac:dyDescent="0.2">
      <c r="A257" s="196">
        <v>543</v>
      </c>
      <c r="B257" s="189" t="s">
        <v>167</v>
      </c>
      <c r="C257" s="189" t="s">
        <v>510</v>
      </c>
      <c r="D257" s="503" t="s">
        <v>303</v>
      </c>
      <c r="E257" s="508">
        <v>29</v>
      </c>
      <c r="F257" s="504" t="s">
        <v>311</v>
      </c>
      <c r="G257" s="504" t="s">
        <v>244</v>
      </c>
      <c r="H257" s="504"/>
      <c r="I257" s="504"/>
      <c r="J257" s="504"/>
      <c r="K257" s="179" t="str">
        <f>IF(ISBLANK(E257),"ručně doplnit",IF(E257="-","není ve výkazech",IF(C257="Rozvaha",VLOOKUP(E257,radky_R!$A:$B,2,0),IF(C257="Výsledovka",VLOOKUP(E257,radky_V!A:M,2,0)))))</f>
        <v>Jiné provozní náklady</v>
      </c>
      <c r="R257" s="179" t="str">
        <f>IF(ISBLANK(L257),"není alternativa",IF(L257="-","není ve výkazech",VLOOKUP(L257,radky_R!$A:$B,2,0)))</f>
        <v>není alternativa</v>
      </c>
      <c r="S257" s="189" t="s">
        <v>261</v>
      </c>
      <c r="T257" s="189" t="s">
        <v>637</v>
      </c>
    </row>
    <row r="258" spans="1:20" x14ac:dyDescent="0.2">
      <c r="A258" s="196">
        <v>544</v>
      </c>
      <c r="B258" s="189" t="s">
        <v>168</v>
      </c>
      <c r="C258" s="189" t="s">
        <v>510</v>
      </c>
      <c r="D258" s="503" t="s">
        <v>318</v>
      </c>
      <c r="E258" s="508">
        <v>29</v>
      </c>
      <c r="F258" s="504" t="s">
        <v>311</v>
      </c>
      <c r="G258" s="504" t="s">
        <v>244</v>
      </c>
      <c r="H258" s="504"/>
      <c r="I258" s="504"/>
      <c r="J258" s="504"/>
      <c r="K258" s="179" t="str">
        <f>IF(ISBLANK(E258),"ručně doplnit",IF(E258="-","není ve výkazech",IF(C258="Rozvaha",VLOOKUP(E258,radky_R!$A:$B,2,0),IF(C258="Výsledovka",VLOOKUP(E258,radky_V!A:M,2,0)))))</f>
        <v>Jiné provozní náklady</v>
      </c>
      <c r="R258" s="179" t="str">
        <f>IF(ISBLANK(L258),"není alternativa",IF(L258="-","není ve výkazech",VLOOKUP(L258,radky_R!$A:$B,2,0)))</f>
        <v>není alternativa</v>
      </c>
      <c r="S258" s="189" t="s">
        <v>261</v>
      </c>
      <c r="T258" s="189" t="s">
        <v>637</v>
      </c>
    </row>
    <row r="259" spans="1:20" x14ac:dyDescent="0.2">
      <c r="A259" s="196">
        <v>545</v>
      </c>
      <c r="B259" s="189" t="s">
        <v>169</v>
      </c>
      <c r="C259" s="189" t="s">
        <v>510</v>
      </c>
      <c r="D259" s="503" t="s">
        <v>303</v>
      </c>
      <c r="E259" s="508">
        <v>29</v>
      </c>
      <c r="F259" s="504" t="s">
        <v>311</v>
      </c>
      <c r="G259" s="504" t="s">
        <v>244</v>
      </c>
      <c r="H259" s="504"/>
      <c r="I259" s="504"/>
      <c r="J259" s="504"/>
      <c r="K259" s="179" t="str">
        <f>IF(ISBLANK(E259),"ručně doplnit",IF(E259="-","není ve výkazech",IF(C259="Rozvaha",VLOOKUP(E259,radky_R!$A:$B,2,0),IF(C259="Výsledovka",VLOOKUP(E259,radky_V!A:M,2,0)))))</f>
        <v>Jiné provozní náklady</v>
      </c>
      <c r="R259" s="179" t="str">
        <f>IF(ISBLANK(L259),"není alternativa",IF(L259="-","není ve výkazech",VLOOKUP(L259,radky_R!$A:$B,2,0)))</f>
        <v>není alternativa</v>
      </c>
      <c r="S259" s="189" t="s">
        <v>261</v>
      </c>
      <c r="T259" s="189" t="s">
        <v>637</v>
      </c>
    </row>
    <row r="260" spans="1:20" x14ac:dyDescent="0.2">
      <c r="A260" s="196">
        <v>546</v>
      </c>
      <c r="B260" s="189" t="s">
        <v>170</v>
      </c>
      <c r="C260" s="189" t="s">
        <v>510</v>
      </c>
      <c r="D260" s="503" t="s">
        <v>303</v>
      </c>
      <c r="E260" s="508">
        <v>29</v>
      </c>
      <c r="F260" s="504" t="s">
        <v>311</v>
      </c>
      <c r="G260" s="504" t="s">
        <v>244</v>
      </c>
      <c r="H260" s="504"/>
      <c r="I260" s="504"/>
      <c r="J260" s="504"/>
      <c r="K260" s="179" t="str">
        <f>IF(ISBLANK(E260),"ručně doplnit",IF(E260="-","není ve výkazech",IF(C260="Rozvaha",VLOOKUP(E260,radky_R!$A:$B,2,0),IF(C260="Výsledovka",VLOOKUP(E260,radky_V!A:M,2,0)))))</f>
        <v>Jiné provozní náklady</v>
      </c>
      <c r="R260" s="179" t="str">
        <f>IF(ISBLANK(L260),"není alternativa",IF(L260="-","není ve výkazech",VLOOKUP(L260,radky_R!$A:$B,2,0)))</f>
        <v>není alternativa</v>
      </c>
      <c r="S260" s="189" t="s">
        <v>261</v>
      </c>
      <c r="T260" s="189" t="s">
        <v>636</v>
      </c>
    </row>
    <row r="261" spans="1:20" x14ac:dyDescent="0.2">
      <c r="A261" s="196">
        <v>547</v>
      </c>
      <c r="B261" s="189" t="s">
        <v>798</v>
      </c>
      <c r="C261" s="189" t="s">
        <v>510</v>
      </c>
      <c r="D261" s="503" t="s">
        <v>303</v>
      </c>
      <c r="E261" s="508">
        <v>29</v>
      </c>
      <c r="F261" s="504" t="s">
        <v>311</v>
      </c>
      <c r="G261" s="504" t="s">
        <v>244</v>
      </c>
      <c r="H261" s="504"/>
      <c r="I261" s="504"/>
      <c r="J261" s="504"/>
      <c r="K261" s="179" t="str">
        <f>IF(ISBLANK(E261),"ručně doplnit",IF(E261="-","není ve výkazech",IF(C261="Rozvaha",VLOOKUP(E261,radky_R!$A:$B,2,0),IF(C261="Výsledovka",VLOOKUP(E261,radky_V!A:M,2,0)))))</f>
        <v>Jiné provozní náklady</v>
      </c>
      <c r="R261" s="179" t="str">
        <f>IF(ISBLANK(L261),"není alternativa",IF(L261="-","není ve výkazech",VLOOKUP(L261,radky_R!$A:$B,2,0)))</f>
        <v>není alternativa</v>
      </c>
      <c r="S261" s="189" t="s">
        <v>261</v>
      </c>
      <c r="T261" s="189" t="s">
        <v>636</v>
      </c>
    </row>
    <row r="262" spans="1:20" x14ac:dyDescent="0.2">
      <c r="A262" s="196">
        <v>548</v>
      </c>
      <c r="B262" s="189" t="s">
        <v>171</v>
      </c>
      <c r="C262" s="189" t="s">
        <v>510</v>
      </c>
      <c r="D262" s="503" t="s">
        <v>318</v>
      </c>
      <c r="E262" s="508">
        <v>29</v>
      </c>
      <c r="F262" s="504" t="s">
        <v>311</v>
      </c>
      <c r="G262" s="504" t="s">
        <v>244</v>
      </c>
      <c r="H262" s="504"/>
      <c r="I262" s="504"/>
      <c r="J262" s="504"/>
      <c r="K262" s="179" t="str">
        <f>IF(ISBLANK(E262),"ručně doplnit",IF(E262="-","není ve výkazech",IF(C262="Rozvaha",VLOOKUP(E262,radky_R!$A:$B,2,0),IF(C262="Výsledovka",VLOOKUP(E262,radky_V!A:M,2,0)))))</f>
        <v>Jiné provozní náklady</v>
      </c>
      <c r="R262" s="179" t="str">
        <f>IF(ISBLANK(L262),"není alternativa",IF(L262="-","není ve výkazech",VLOOKUP(L262,radky_R!$A:$B,2,0)))</f>
        <v>není alternativa</v>
      </c>
      <c r="S262" s="189" t="s">
        <v>261</v>
      </c>
      <c r="T262" s="189" t="s">
        <v>637</v>
      </c>
    </row>
    <row r="263" spans="1:20" x14ac:dyDescent="0.2">
      <c r="A263" s="196">
        <v>549</v>
      </c>
      <c r="B263" s="189" t="s">
        <v>172</v>
      </c>
      <c r="C263" s="189" t="s">
        <v>510</v>
      </c>
      <c r="D263" s="503" t="s">
        <v>318</v>
      </c>
      <c r="E263" s="508">
        <v>29</v>
      </c>
      <c r="F263" s="504" t="s">
        <v>311</v>
      </c>
      <c r="G263" s="504" t="s">
        <v>244</v>
      </c>
      <c r="H263" s="504"/>
      <c r="I263" s="504"/>
      <c r="J263" s="504"/>
      <c r="K263" s="179" t="str">
        <f>IF(ISBLANK(E263),"ručně doplnit",IF(E263="-","není ve výkazech",IF(C263="Rozvaha",VLOOKUP(E263,radky_R!$A:$B,2,0),IF(C263="Výsledovka",VLOOKUP(E263,radky_V!A:M,2,0)))))</f>
        <v>Jiné provozní náklady</v>
      </c>
      <c r="R263" s="179" t="str">
        <f>IF(ISBLANK(L263),"není alternativa",IF(L263="-","není ve výkazech",VLOOKUP(L263,radky_R!$A:$B,2,0)))</f>
        <v>není alternativa</v>
      </c>
      <c r="S263" s="189" t="s">
        <v>261</v>
      </c>
      <c r="T263" s="189" t="s">
        <v>635</v>
      </c>
    </row>
    <row r="264" spans="1:20" x14ac:dyDescent="0.2">
      <c r="A264" s="196">
        <v>551</v>
      </c>
      <c r="B264" s="189" t="s">
        <v>173</v>
      </c>
      <c r="C264" s="189" t="s">
        <v>510</v>
      </c>
      <c r="D264" s="503" t="s">
        <v>318</v>
      </c>
      <c r="E264" s="508">
        <v>16</v>
      </c>
      <c r="F264" s="504" t="s">
        <v>310</v>
      </c>
      <c r="G264" s="504" t="s">
        <v>240</v>
      </c>
      <c r="H264" s="504" t="s">
        <v>240</v>
      </c>
      <c r="I264" s="504"/>
      <c r="J264" s="504"/>
      <c r="K264" s="179" t="str">
        <f>IF(ISBLANK(E264),"ručně doplnit",IF(E264="-","není ve výkazech",IF(C264="Rozvaha",VLOOKUP(E264,radky_R!$A:$B,2,0),IF(C264="Výsledovka",VLOOKUP(E264,radky_V!A:M,2,0)))))</f>
        <v>Úpravy hodnot dlouhodobého nehmotného a hmotného majetku - trvalé</v>
      </c>
      <c r="R264" s="179" t="str">
        <f>IF(ISBLANK(L264),"není alternativa",IF(L264="-","není ve výkazech",VLOOKUP(L264,radky_R!$A:$B,2,0)))</f>
        <v>není alternativa</v>
      </c>
      <c r="S264" s="189" t="s">
        <v>261</v>
      </c>
      <c r="T264" s="189" t="s">
        <v>633</v>
      </c>
    </row>
    <row r="265" spans="1:20" x14ac:dyDescent="0.2">
      <c r="A265" s="196">
        <v>552</v>
      </c>
      <c r="B265" s="189" t="s">
        <v>174</v>
      </c>
      <c r="C265" s="189" t="s">
        <v>510</v>
      </c>
      <c r="D265" s="503" t="s">
        <v>318</v>
      </c>
      <c r="E265" s="508">
        <v>28</v>
      </c>
      <c r="F265" s="504" t="s">
        <v>311</v>
      </c>
      <c r="G265" s="504" t="s">
        <v>243</v>
      </c>
      <c r="H265" s="504"/>
      <c r="I265" s="504"/>
      <c r="J265" s="504"/>
      <c r="K265" s="179" t="str">
        <f>IF(ISBLANK(E265),"ručně doplnit",IF(E265="-","není ve výkazech",IF(C265="Rozvaha",VLOOKUP(E265,radky_R!$A:$B,2,0),IF(C265="Výsledovka",VLOOKUP(E265,radky_V!A:M,2,0)))))</f>
        <v>Rezervy v provozní oblasti a komplexní náklady příštích období</v>
      </c>
      <c r="R265" s="179" t="str">
        <f>IF(ISBLANK(L265),"není alternativa",IF(L265="-","není ve výkazech",VLOOKUP(L265,radky_R!$A:$B,2,0)))</f>
        <v>není alternativa</v>
      </c>
      <c r="S265" s="189" t="s">
        <v>261</v>
      </c>
      <c r="T265" s="189" t="s">
        <v>633</v>
      </c>
    </row>
    <row r="266" spans="1:20" x14ac:dyDescent="0.2">
      <c r="A266" s="196">
        <v>554</v>
      </c>
      <c r="B266" s="189" t="s">
        <v>175</v>
      </c>
      <c r="C266" s="189" t="s">
        <v>510</v>
      </c>
      <c r="D266" s="503" t="s">
        <v>303</v>
      </c>
      <c r="E266" s="508">
        <v>28</v>
      </c>
      <c r="F266" s="504" t="s">
        <v>311</v>
      </c>
      <c r="G266" s="504" t="s">
        <v>243</v>
      </c>
      <c r="H266" s="504"/>
      <c r="I266" s="504"/>
      <c r="J266" s="504"/>
      <c r="K266" s="179" t="str">
        <f>IF(ISBLANK(E266),"ručně doplnit",IF(E266="-","není ve výkazech",IF(C266="Rozvaha",VLOOKUP(E266,radky_R!$A:$B,2,0),IF(C266="Výsledovka",VLOOKUP(E266,radky_V!A:M,2,0)))))</f>
        <v>Rezervy v provozní oblasti a komplexní náklady příštích období</v>
      </c>
      <c r="R266" s="179" t="str">
        <f>IF(ISBLANK(L266),"není alternativa",IF(L266="-","není ve výkazech",VLOOKUP(L266,radky_R!$A:$B,2,0)))</f>
        <v>není alternativa</v>
      </c>
      <c r="S266" s="189" t="s">
        <v>261</v>
      </c>
      <c r="T266" s="189" t="s">
        <v>638</v>
      </c>
    </row>
    <row r="267" spans="1:20" x14ac:dyDescent="0.2">
      <c r="A267" s="196">
        <v>555</v>
      </c>
      <c r="B267" s="189" t="s">
        <v>176</v>
      </c>
      <c r="C267" s="189" t="s">
        <v>510</v>
      </c>
      <c r="D267" s="503" t="s">
        <v>318</v>
      </c>
      <c r="E267" s="508">
        <v>28</v>
      </c>
      <c r="F267" s="504" t="s">
        <v>311</v>
      </c>
      <c r="G267" s="504" t="s">
        <v>243</v>
      </c>
      <c r="H267" s="504"/>
      <c r="I267" s="504"/>
      <c r="J267" s="504"/>
      <c r="K267" s="179" t="str">
        <f>IF(ISBLANK(E267),"ručně doplnit",IF(E267="-","není ve výkazech",IF(C267="Rozvaha",VLOOKUP(E267,radky_R!$A:$B,2,0),IF(C267="Výsledovka",VLOOKUP(E267,radky_V!A:M,2,0)))))</f>
        <v>Rezervy v provozní oblasti a komplexní náklady příštích období</v>
      </c>
      <c r="R267" s="179" t="str">
        <f>IF(ISBLANK(L267),"není alternativa",IF(L267="-","není ve výkazech",VLOOKUP(L267,radky_R!$A:$B,2,0)))</f>
        <v>není alternativa</v>
      </c>
      <c r="S267" s="189" t="s">
        <v>261</v>
      </c>
      <c r="T267" s="189" t="s">
        <v>637</v>
      </c>
    </row>
    <row r="268" spans="1:20" x14ac:dyDescent="0.2">
      <c r="A268" s="196">
        <v>557</v>
      </c>
      <c r="B268" s="189" t="s">
        <v>177</v>
      </c>
      <c r="C268" s="189" t="s">
        <v>510</v>
      </c>
      <c r="D268" s="503" t="s">
        <v>303</v>
      </c>
      <c r="E268" s="508">
        <v>16</v>
      </c>
      <c r="F268" s="504" t="s">
        <v>310</v>
      </c>
      <c r="G268" s="504" t="s">
        <v>240</v>
      </c>
      <c r="H268" s="504" t="s">
        <v>240</v>
      </c>
      <c r="I268" s="504"/>
      <c r="J268" s="504"/>
      <c r="K268" s="179" t="str">
        <f>IF(ISBLANK(E268),"ručně doplnit",IF(E268="-","není ve výkazech",IF(C268="Rozvaha",VLOOKUP(E268,radky_R!$A:$B,2,0),IF(C268="Výsledovka",VLOOKUP(E268,radky_V!A:M,2,0)))))</f>
        <v>Úpravy hodnot dlouhodobého nehmotného a hmotného majetku - trvalé</v>
      </c>
      <c r="R268" s="179" t="str">
        <f>IF(ISBLANK(L268),"není alternativa",IF(L268="-","není ve výkazech",VLOOKUP(L268,radky_R!$A:$B,2,0)))</f>
        <v>není alternativa</v>
      </c>
      <c r="S268" s="189" t="s">
        <v>261</v>
      </c>
      <c r="T268" s="189" t="s">
        <v>633</v>
      </c>
    </row>
    <row r="269" spans="1:20" x14ac:dyDescent="0.2">
      <c r="A269" s="196">
        <v>558</v>
      </c>
      <c r="B269" s="189" t="s">
        <v>178</v>
      </c>
      <c r="C269" s="189" t="s">
        <v>510</v>
      </c>
      <c r="D269" s="503" t="s">
        <v>318</v>
      </c>
      <c r="E269" s="508">
        <v>19</v>
      </c>
      <c r="F269" s="504" t="s">
        <v>310</v>
      </c>
      <c r="G269" s="504" t="s">
        <v>242</v>
      </c>
      <c r="H269" s="504"/>
      <c r="I269" s="504"/>
      <c r="J269" s="504"/>
      <c r="K269" s="179" t="str">
        <f>IF(ISBLANK(E269),"ručně doplnit",IF(E269="-","není ve výkazech",IF(C269="Rozvaha",VLOOKUP(E269,radky_R!$A:$B,2,0),IF(C269="Výsledovka",VLOOKUP(E269,radky_V!A:M,2,0)))))</f>
        <v>Úpravy hodnot pohledávek</v>
      </c>
      <c r="R269" s="179" t="str">
        <f>IF(ISBLANK(L269),"není alternativa",IF(L269="-","není ve výkazech",VLOOKUP(L269,radky_R!$A:$B,2,0)))</f>
        <v>není alternativa</v>
      </c>
      <c r="S269" s="189" t="s">
        <v>261</v>
      </c>
      <c r="T269" s="189" t="s">
        <v>636</v>
      </c>
    </row>
    <row r="270" spans="1:20" x14ac:dyDescent="0.2">
      <c r="A270" s="196">
        <v>559</v>
      </c>
      <c r="B270" s="189" t="s">
        <v>799</v>
      </c>
      <c r="C270" s="189" t="s">
        <v>510</v>
      </c>
      <c r="D270" s="503" t="s">
        <v>303</v>
      </c>
      <c r="E270" s="508"/>
      <c r="F270" s="504" t="s">
        <v>310</v>
      </c>
      <c r="G270" s="504" t="s">
        <v>240</v>
      </c>
      <c r="H270" s="504" t="s">
        <v>241</v>
      </c>
      <c r="I270" s="504"/>
      <c r="J270" s="504"/>
      <c r="K270" s="179" t="str">
        <f>IF(ISBLANK(E270),"ručně doplnit",IF(E270="-","není ve výkazech",IF(C270="Rozvaha",VLOOKUP(E270,radky_R!$A:$B,2,0),IF(C270="Výsledovka",VLOOKUP(E270,radky_V!A:M,2,0)))))</f>
        <v>ručně doplnit</v>
      </c>
      <c r="R270" s="179" t="str">
        <f>IF(ISBLANK(L270),"není alternativa",IF(L270="-","není ve výkazech",VLOOKUP(L270,radky_R!$A:$B,2,0)))</f>
        <v>není alternativa</v>
      </c>
      <c r="S270" s="189" t="s">
        <v>261</v>
      </c>
      <c r="T270" s="189" t="s">
        <v>633</v>
      </c>
    </row>
    <row r="271" spans="1:20" x14ac:dyDescent="0.2">
      <c r="A271" s="196">
        <v>559</v>
      </c>
      <c r="B271" s="189" t="s">
        <v>799</v>
      </c>
      <c r="C271" s="189" t="s">
        <v>510</v>
      </c>
      <c r="D271" s="503" t="s">
        <v>303</v>
      </c>
      <c r="E271" s="508"/>
      <c r="F271" s="504" t="s">
        <v>310</v>
      </c>
      <c r="G271" s="504" t="s">
        <v>241</v>
      </c>
      <c r="H271" s="504"/>
      <c r="I271" s="504"/>
      <c r="J271" s="504"/>
      <c r="K271" s="179" t="str">
        <f>IF(ISBLANK(E271),"ručně doplnit",IF(E271="-","není ve výkazech",IF(C271="Rozvaha",VLOOKUP(E271,radky_R!$A:$B,2,0),IF(C271="Výsledovka",VLOOKUP(E271,radky_V!A:M,2,0)))))</f>
        <v>ručně doplnit</v>
      </c>
      <c r="R271" s="179" t="str">
        <f>IF(ISBLANK(L271),"není alternativa",IF(L271="-","není ve výkazech",VLOOKUP(L271,radky_R!$A:$B,2,0)))</f>
        <v>není alternativa</v>
      </c>
      <c r="S271" s="189" t="s">
        <v>261</v>
      </c>
      <c r="T271" s="189" t="s">
        <v>635</v>
      </c>
    </row>
    <row r="272" spans="1:20" x14ac:dyDescent="0.2">
      <c r="A272" s="196">
        <v>559</v>
      </c>
      <c r="B272" s="189" t="s">
        <v>799</v>
      </c>
      <c r="C272" s="189" t="s">
        <v>510</v>
      </c>
      <c r="D272" s="503" t="s">
        <v>303</v>
      </c>
      <c r="E272" s="508"/>
      <c r="F272" s="504" t="s">
        <v>310</v>
      </c>
      <c r="G272" s="504" t="s">
        <v>242</v>
      </c>
      <c r="H272" s="504"/>
      <c r="I272" s="504"/>
      <c r="J272" s="504"/>
      <c r="K272" s="179" t="str">
        <f>IF(ISBLANK(E272),"ručně doplnit",IF(E272="-","není ve výkazech",IF(C272="Rozvaha",VLOOKUP(E272,radky_R!$A:$B,2,0),IF(C272="Výsledovka",VLOOKUP(E272,radky_V!A:M,2,0)))))</f>
        <v>ručně doplnit</v>
      </c>
      <c r="R272" s="179" t="str">
        <f>IF(ISBLANK(L272),"není alternativa",IF(L272="-","není ve výkazech",VLOOKUP(L272,radky_R!$A:$B,2,0)))</f>
        <v>není alternativa</v>
      </c>
      <c r="S272" s="189" t="s">
        <v>261</v>
      </c>
      <c r="T272" s="189" t="s">
        <v>636</v>
      </c>
    </row>
    <row r="273" spans="1:20" x14ac:dyDescent="0.2">
      <c r="A273" s="196">
        <v>561</v>
      </c>
      <c r="B273" s="189" t="s">
        <v>179</v>
      </c>
      <c r="C273" s="189" t="s">
        <v>510</v>
      </c>
      <c r="D273" s="503" t="s">
        <v>318</v>
      </c>
      <c r="E273" s="508"/>
      <c r="F273" s="504" t="s">
        <v>312</v>
      </c>
      <c r="G273" s="504"/>
      <c r="H273" s="504"/>
      <c r="I273" s="504"/>
      <c r="J273" s="504"/>
      <c r="K273" s="179" t="str">
        <f>IF(ISBLANK(E273),"ručně doplnit",IF(E273="-","není ve výkazech",IF(C273="Rozvaha",VLOOKUP(E273,radky_R!$A:$B,2,0),IF(C273="Výsledovka",VLOOKUP(E273,radky_V!A:M,2,0)))))</f>
        <v>ručně doplnit</v>
      </c>
      <c r="R273" s="179" t="str">
        <f>IF(ISBLANK(L273),"není alternativa",IF(L273="-","není ve výkazech",VLOOKUP(L273,radky_R!$A:$B,2,0)))</f>
        <v>není alternativa</v>
      </c>
      <c r="S273" s="189" t="s">
        <v>261</v>
      </c>
      <c r="T273" s="189" t="s">
        <v>634</v>
      </c>
    </row>
    <row r="274" spans="1:20" x14ac:dyDescent="0.2">
      <c r="A274" s="196">
        <v>561</v>
      </c>
      <c r="B274" s="189" t="s">
        <v>179</v>
      </c>
      <c r="C274" s="189" t="s">
        <v>510</v>
      </c>
      <c r="D274" s="503" t="s">
        <v>318</v>
      </c>
      <c r="E274" s="508"/>
      <c r="F274" s="504" t="s">
        <v>313</v>
      </c>
      <c r="G274" s="504"/>
      <c r="H274" s="504"/>
      <c r="I274" s="504"/>
      <c r="J274" s="504"/>
      <c r="K274" s="179" t="str">
        <f>IF(ISBLANK(E274),"ručně doplnit",IF(E274="-","není ve výkazech",IF(C274="Rozvaha",VLOOKUP(E274,radky_R!$A:$B,2,0),IF(C274="Výsledovka",VLOOKUP(E274,radky_V!A:M,2,0)))))</f>
        <v>ručně doplnit</v>
      </c>
      <c r="R274" s="179" t="str">
        <f>IF(ISBLANK(L274),"není alternativa",IF(L274="-","není ve výkazech",VLOOKUP(L274,radky_R!$A:$B,2,0)))</f>
        <v>není alternativa</v>
      </c>
      <c r="S274" s="189" t="s">
        <v>261</v>
      </c>
      <c r="T274" s="189" t="s">
        <v>634</v>
      </c>
    </row>
    <row r="275" spans="1:20" x14ac:dyDescent="0.2">
      <c r="A275" s="196">
        <v>561</v>
      </c>
      <c r="B275" s="189" t="s">
        <v>179</v>
      </c>
      <c r="C275" s="189" t="s">
        <v>510</v>
      </c>
      <c r="D275" s="503" t="s">
        <v>318</v>
      </c>
      <c r="E275" s="508"/>
      <c r="F275" s="504" t="s">
        <v>325</v>
      </c>
      <c r="G275" s="504"/>
      <c r="H275" s="504"/>
      <c r="I275" s="504"/>
      <c r="J275" s="504"/>
      <c r="K275" s="179" t="str">
        <f>IF(ISBLANK(E275),"ručně doplnit",IF(E275="-","není ve výkazech",IF(C275="Rozvaha",VLOOKUP(E275,radky_R!$A:$B,2,0),IF(C275="Výsledovka",VLOOKUP(E275,radky_V!A:M,2,0)))))</f>
        <v>ručně doplnit</v>
      </c>
      <c r="R275" s="179" t="str">
        <f>IF(ISBLANK(L275),"není alternativa",IF(L275="-","není ve výkazech",VLOOKUP(L275,radky_R!$A:$B,2,0)))</f>
        <v>není alternativa</v>
      </c>
      <c r="S275" s="189" t="s">
        <v>261</v>
      </c>
      <c r="T275" s="189" t="s">
        <v>634</v>
      </c>
    </row>
    <row r="276" spans="1:20" x14ac:dyDescent="0.2">
      <c r="A276" s="196">
        <v>562</v>
      </c>
      <c r="B276" s="189" t="s">
        <v>180</v>
      </c>
      <c r="C276" s="189" t="s">
        <v>510</v>
      </c>
      <c r="D276" s="503" t="s">
        <v>318</v>
      </c>
      <c r="E276" s="508">
        <v>45</v>
      </c>
      <c r="F276" s="504" t="s">
        <v>323</v>
      </c>
      <c r="G276" s="504" t="s">
        <v>241</v>
      </c>
      <c r="H276" s="504"/>
      <c r="I276" s="504"/>
      <c r="J276" s="504"/>
      <c r="K276" s="179" t="str">
        <f>IF(ISBLANK(E276),"ručně doplnit",IF(E276="-","není ve výkazech",IF(C276="Rozvaha",VLOOKUP(E276,radky_R!$A:$B,2,0),IF(C276="Výsledovka",VLOOKUP(E276,radky_V!A:M,2,0)))))</f>
        <v>Ostatní nákladové úroky a podobné náklady</v>
      </c>
      <c r="R276" s="179" t="str">
        <f>IF(ISBLANK(L276),"není alternativa",IF(L276="-","není ve výkazech",VLOOKUP(L276,radky_R!$A:$B,2,0)))</f>
        <v>není alternativa</v>
      </c>
      <c r="S276" s="189" t="s">
        <v>261</v>
      </c>
      <c r="T276" s="189" t="s">
        <v>634</v>
      </c>
    </row>
    <row r="277" spans="1:20" x14ac:dyDescent="0.2">
      <c r="A277" s="196">
        <v>562</v>
      </c>
      <c r="B277" s="189" t="s">
        <v>180</v>
      </c>
      <c r="C277" s="189" t="s">
        <v>510</v>
      </c>
      <c r="D277" s="503" t="s">
        <v>318</v>
      </c>
      <c r="E277" s="508">
        <v>44</v>
      </c>
      <c r="F277" s="504" t="s">
        <v>323</v>
      </c>
      <c r="G277" s="504" t="s">
        <v>240</v>
      </c>
      <c r="H277" s="504"/>
      <c r="I277" s="504"/>
      <c r="J277" s="504"/>
      <c r="K277" s="179" t="str">
        <f>IF(ISBLANK(E277),"ručně doplnit",IF(E277="-","není ve výkazech",IF(C277="Rozvaha",VLOOKUP(E277,radky_R!$A:$B,2,0),IF(C277="Výsledovka",VLOOKUP(E277,radky_V!A:M,2,0)))))</f>
        <v>Nákladové úroky a podobné náklady - ovládaná nebo ovládající osoba</v>
      </c>
      <c r="R277" s="179" t="str">
        <f>IF(ISBLANK(L277),"není alternativa",IF(L277="-","není ve výkazech",VLOOKUP(L277,radky_R!$A:$B,2,0)))</f>
        <v>není alternativa</v>
      </c>
      <c r="S277" s="189" t="s">
        <v>261</v>
      </c>
      <c r="T277" s="189" t="s">
        <v>634</v>
      </c>
    </row>
    <row r="278" spans="1:20" x14ac:dyDescent="0.2">
      <c r="A278" s="196">
        <v>563</v>
      </c>
      <c r="B278" s="189" t="s">
        <v>181</v>
      </c>
      <c r="C278" s="189" t="s">
        <v>510</v>
      </c>
      <c r="D278" s="503" t="s">
        <v>318</v>
      </c>
      <c r="E278" s="508">
        <v>47</v>
      </c>
      <c r="F278" s="504" t="s">
        <v>325</v>
      </c>
      <c r="G278" s="504"/>
      <c r="H278" s="504"/>
      <c r="I278" s="504"/>
      <c r="J278" s="504"/>
      <c r="K278" s="179" t="str">
        <f>IF(ISBLANK(E278),"ručně doplnit",IF(E278="-","není ve výkazech",IF(C278="Rozvaha",VLOOKUP(E278,radky_R!$A:$B,2,0),IF(C278="Výsledovka",VLOOKUP(E278,radky_V!A:M,2,0)))))</f>
        <v>Ostatní finanční náklady</v>
      </c>
      <c r="R278" s="179" t="str">
        <f>IF(ISBLANK(L278),"není alternativa",IF(L278="-","není ve výkazech",VLOOKUP(L278,radky_R!$A:$B,2,0)))</f>
        <v>není alternativa</v>
      </c>
      <c r="S278" s="189" t="s">
        <v>261</v>
      </c>
      <c r="T278" s="189" t="s">
        <v>634</v>
      </c>
    </row>
    <row r="279" spans="1:20" x14ac:dyDescent="0.2">
      <c r="A279" s="196">
        <v>564</v>
      </c>
      <c r="B279" s="189" t="s">
        <v>182</v>
      </c>
      <c r="C279" s="189" t="s">
        <v>510</v>
      </c>
      <c r="D279" s="503" t="s">
        <v>318</v>
      </c>
      <c r="E279" s="508">
        <v>47</v>
      </c>
      <c r="F279" s="504" t="s">
        <v>325</v>
      </c>
      <c r="G279" s="504"/>
      <c r="H279" s="504"/>
      <c r="I279" s="504"/>
      <c r="J279" s="504"/>
      <c r="K279" s="179" t="str">
        <f>IF(ISBLANK(E279),"ručně doplnit",IF(E279="-","není ve výkazech",IF(C279="Rozvaha",VLOOKUP(E279,radky_R!$A:$B,2,0),IF(C279="Výsledovka",VLOOKUP(E279,radky_V!A:M,2,0)))))</f>
        <v>Ostatní finanční náklady</v>
      </c>
      <c r="R279" s="179" t="str">
        <f>IF(ISBLANK(L279),"není alternativa",IF(L279="-","není ve výkazech",VLOOKUP(L279,radky_R!$A:$B,2,0)))</f>
        <v>není alternativa</v>
      </c>
      <c r="S279" s="189" t="s">
        <v>261</v>
      </c>
      <c r="T279" s="189" t="s">
        <v>634</v>
      </c>
    </row>
    <row r="280" spans="1:20" x14ac:dyDescent="0.2">
      <c r="A280" s="196">
        <v>565</v>
      </c>
      <c r="B280" s="189" t="s">
        <v>800</v>
      </c>
      <c r="C280" s="189" t="s">
        <v>510</v>
      </c>
      <c r="D280" s="503" t="s">
        <v>318</v>
      </c>
      <c r="E280" s="508">
        <v>47</v>
      </c>
      <c r="F280" s="504" t="s">
        <v>325</v>
      </c>
      <c r="G280" s="504"/>
      <c r="H280" s="504"/>
      <c r="I280" s="504"/>
      <c r="J280" s="504"/>
      <c r="K280" s="179" t="str">
        <f>IF(ISBLANK(E280),"ručně doplnit",IF(E280="-","není ve výkazech",IF(C280="Rozvaha",VLOOKUP(E280,radky_R!$A:$B,2,0),IF(C280="Výsledovka",VLOOKUP(E280,radky_V!A:M,2,0)))))</f>
        <v>Ostatní finanční náklady</v>
      </c>
      <c r="R280" s="179" t="str">
        <f>IF(ISBLANK(L280),"není alternativa",IF(L280="-","není ve výkazech",VLOOKUP(L280,radky_R!$A:$B,2,0)))</f>
        <v>není alternativa</v>
      </c>
      <c r="S280" s="189" t="s">
        <v>261</v>
      </c>
      <c r="T280" s="189" t="s">
        <v>634</v>
      </c>
    </row>
    <row r="281" spans="1:20" x14ac:dyDescent="0.2">
      <c r="A281" s="196">
        <v>566</v>
      </c>
      <c r="B281" s="189" t="s">
        <v>183</v>
      </c>
      <c r="C281" s="189" t="s">
        <v>510</v>
      </c>
      <c r="D281" s="503" t="s">
        <v>318</v>
      </c>
      <c r="E281" s="508">
        <v>47</v>
      </c>
      <c r="F281" s="504" t="s">
        <v>325</v>
      </c>
      <c r="G281" s="504"/>
      <c r="H281" s="504"/>
      <c r="I281" s="504"/>
      <c r="J281" s="504"/>
      <c r="K281" s="179" t="str">
        <f>IF(ISBLANK(E281),"ručně doplnit",IF(E281="-","není ve výkazech",IF(C281="Rozvaha",VLOOKUP(E281,radky_R!$A:$B,2,0),IF(C281="Výsledovka",VLOOKUP(E281,radky_V!A:M,2,0)))))</f>
        <v>Ostatní finanční náklady</v>
      </c>
      <c r="R281" s="179" t="str">
        <f>IF(ISBLANK(L281),"není alternativa",IF(L281="-","není ve výkazech",VLOOKUP(L281,radky_R!$A:$B,2,0)))</f>
        <v>není alternativa</v>
      </c>
      <c r="S281" s="189" t="s">
        <v>261</v>
      </c>
      <c r="T281" s="189" t="s">
        <v>634</v>
      </c>
    </row>
    <row r="282" spans="1:20" x14ac:dyDescent="0.2">
      <c r="A282" s="196">
        <v>566</v>
      </c>
      <c r="B282" s="189" t="s">
        <v>183</v>
      </c>
      <c r="C282" s="189" t="s">
        <v>510</v>
      </c>
      <c r="D282" s="503" t="s">
        <v>318</v>
      </c>
      <c r="E282" s="508">
        <v>38</v>
      </c>
      <c r="F282" s="504" t="s">
        <v>313</v>
      </c>
      <c r="G282" s="504"/>
      <c r="H282" s="504"/>
      <c r="I282" s="504"/>
      <c r="J282" s="504"/>
      <c r="K282" s="179" t="str">
        <f>IF(ISBLANK(E282),"ručně doplnit",IF(E282="-","není ve výkazech",IF(C282="Rozvaha",VLOOKUP(E282,radky_R!$A:$B,2,0),IF(C282="Výsledovka",VLOOKUP(E282,radky_V!A:M,2,0)))))</f>
        <v>Náklady související s ostatním dlouhodobým finančním majetkem</v>
      </c>
      <c r="R282" s="179" t="str">
        <f>IF(ISBLANK(L282),"není alternativa",IF(L282="-","není ve výkazech",VLOOKUP(L282,radky_R!$A:$B,2,0)))</f>
        <v>není alternativa</v>
      </c>
      <c r="S282" s="189" t="s">
        <v>261</v>
      </c>
      <c r="T282" s="189" t="s">
        <v>634</v>
      </c>
    </row>
    <row r="283" spans="1:20" x14ac:dyDescent="0.2">
      <c r="A283" s="196">
        <v>567</v>
      </c>
      <c r="B283" s="189" t="s">
        <v>184</v>
      </c>
      <c r="C283" s="189" t="s">
        <v>510</v>
      </c>
      <c r="D283" s="503" t="s">
        <v>318</v>
      </c>
      <c r="E283" s="508">
        <v>47</v>
      </c>
      <c r="F283" s="504" t="s">
        <v>325</v>
      </c>
      <c r="G283" s="504"/>
      <c r="H283" s="504"/>
      <c r="I283" s="504"/>
      <c r="J283" s="504"/>
      <c r="K283" s="179" t="str">
        <f>IF(ISBLANK(E283),"ručně doplnit",IF(E283="-","není ve výkazech",IF(C283="Rozvaha",VLOOKUP(E283,radky_R!$A:$B,2,0),IF(C283="Výsledovka",VLOOKUP(E283,radky_V!A:M,2,0)))))</f>
        <v>Ostatní finanční náklady</v>
      </c>
      <c r="R283" s="179" t="str">
        <f>IF(ISBLANK(L283),"není alternativa",IF(L283="-","není ve výkazech",VLOOKUP(L283,radky_R!$A:$B,2,0)))</f>
        <v>není alternativa</v>
      </c>
      <c r="S283" s="189" t="s">
        <v>261</v>
      </c>
      <c r="T283" s="189" t="s">
        <v>634</v>
      </c>
    </row>
    <row r="284" spans="1:20" x14ac:dyDescent="0.2">
      <c r="A284" s="196">
        <v>568</v>
      </c>
      <c r="B284" s="189" t="s">
        <v>185</v>
      </c>
      <c r="C284" s="189" t="s">
        <v>510</v>
      </c>
      <c r="D284" s="503" t="s">
        <v>318</v>
      </c>
      <c r="E284" s="508">
        <v>47</v>
      </c>
      <c r="F284" s="504" t="s">
        <v>325</v>
      </c>
      <c r="G284" s="504"/>
      <c r="H284" s="504"/>
      <c r="I284" s="504"/>
      <c r="J284" s="504"/>
      <c r="K284" s="179" t="str">
        <f>IF(ISBLANK(E284),"ručně doplnit",IF(E284="-","není ve výkazech",IF(C284="Rozvaha",VLOOKUP(E284,radky_R!$A:$B,2,0),IF(C284="Výsledovka",VLOOKUP(E284,radky_V!A:M,2,0)))))</f>
        <v>Ostatní finanční náklady</v>
      </c>
      <c r="R284" s="179" t="str">
        <f>IF(ISBLANK(L284),"není alternativa",IF(L284="-","není ve výkazech",VLOOKUP(L284,radky_R!$A:$B,2,0)))</f>
        <v>není alternativa</v>
      </c>
      <c r="S284" s="189" t="s">
        <v>261</v>
      </c>
      <c r="T284" s="189" t="s">
        <v>634</v>
      </c>
    </row>
    <row r="285" spans="1:20" x14ac:dyDescent="0.2">
      <c r="A285" s="196">
        <v>569</v>
      </c>
      <c r="B285" s="189" t="s">
        <v>186</v>
      </c>
      <c r="C285" s="189" t="s">
        <v>510</v>
      </c>
      <c r="D285" s="503" t="s">
        <v>318</v>
      </c>
      <c r="E285" s="508">
        <v>47</v>
      </c>
      <c r="F285" s="504" t="s">
        <v>325</v>
      </c>
      <c r="G285" s="504"/>
      <c r="H285" s="504"/>
      <c r="I285" s="504"/>
      <c r="J285" s="504"/>
      <c r="K285" s="179" t="str">
        <f>IF(ISBLANK(E285),"ručně doplnit",IF(E285="-","není ve výkazech",IF(C285="Rozvaha",VLOOKUP(E285,radky_R!$A:$B,2,0),IF(C285="Výsledovka",VLOOKUP(E285,radky_V!A:M,2,0)))))</f>
        <v>Ostatní finanční náklady</v>
      </c>
      <c r="R285" s="179" t="str">
        <f>IF(ISBLANK(L285),"není alternativa",IF(L285="-","není ve výkazech",VLOOKUP(L285,radky_R!$A:$B,2,0)))</f>
        <v>není alternativa</v>
      </c>
      <c r="S285" s="189" t="s">
        <v>261</v>
      </c>
      <c r="T285" s="189" t="s">
        <v>634</v>
      </c>
    </row>
    <row r="286" spans="1:20" x14ac:dyDescent="0.2">
      <c r="A286" s="196">
        <v>574</v>
      </c>
      <c r="B286" s="189" t="s">
        <v>187</v>
      </c>
      <c r="C286" s="189" t="s">
        <v>510</v>
      </c>
      <c r="D286" s="503" t="s">
        <v>303</v>
      </c>
      <c r="E286" s="508">
        <v>42</v>
      </c>
      <c r="F286" s="504" t="s">
        <v>239</v>
      </c>
      <c r="G286" s="504"/>
      <c r="H286" s="504"/>
      <c r="I286" s="504"/>
      <c r="J286" s="504"/>
      <c r="K286" s="179" t="str">
        <f>IF(ISBLANK(E286),"ručně doplnit",IF(E286="-","není ve výkazech",IF(C286="Rozvaha",VLOOKUP(E286,radky_R!$A:$B,2,0),IF(C286="Výsledovka",VLOOKUP(E286,radky_V!A:M,2,0)))))</f>
        <v>Úpravy hodnot a rezervy ve finanční oblasti</v>
      </c>
      <c r="R286" s="179" t="str">
        <f>IF(ISBLANK(L286),"není alternativa",IF(L286="-","není ve výkazech",VLOOKUP(L286,radky_R!$A:$B,2,0)))</f>
        <v>není alternativa</v>
      </c>
      <c r="S286" s="189" t="s">
        <v>261</v>
      </c>
      <c r="T286" s="189" t="s">
        <v>634</v>
      </c>
    </row>
    <row r="287" spans="1:20" x14ac:dyDescent="0.2">
      <c r="A287" s="196">
        <v>579</v>
      </c>
      <c r="B287" s="189" t="s">
        <v>188</v>
      </c>
      <c r="C287" s="189" t="s">
        <v>510</v>
      </c>
      <c r="D287" s="503" t="s">
        <v>303</v>
      </c>
      <c r="E287" s="508">
        <v>42</v>
      </c>
      <c r="F287" s="504" t="s">
        <v>239</v>
      </c>
      <c r="G287" s="504"/>
      <c r="H287" s="504"/>
      <c r="I287" s="504"/>
      <c r="J287" s="504"/>
      <c r="K287" s="179" t="str">
        <f>IF(ISBLANK(E287),"ručně doplnit",IF(E287="-","není ve výkazech",IF(C287="Rozvaha",VLOOKUP(E287,radky_R!$A:$B,2,0),IF(C287="Výsledovka",VLOOKUP(E287,radky_V!A:M,2,0)))))</f>
        <v>Úpravy hodnot a rezervy ve finanční oblasti</v>
      </c>
      <c r="R287" s="179" t="str">
        <f>IF(ISBLANK(L287),"není alternativa",IF(L287="-","není ve výkazech",VLOOKUP(L287,radky_R!$A:$B,2,0)))</f>
        <v>není alternativa</v>
      </c>
      <c r="S287" s="189" t="s">
        <v>261</v>
      </c>
      <c r="T287" s="189" t="s">
        <v>634</v>
      </c>
    </row>
    <row r="288" spans="1:20" x14ac:dyDescent="0.2">
      <c r="A288" s="196">
        <v>580</v>
      </c>
      <c r="B288" s="189" t="s">
        <v>189</v>
      </c>
      <c r="C288" s="189" t="s">
        <v>510</v>
      </c>
      <c r="D288" s="503" t="s">
        <v>303</v>
      </c>
      <c r="E288" s="196"/>
      <c r="K288" s="179" t="str">
        <f>IF(ISBLANK(E288),"ručně doplnit",IF(E288="-","není ve výkazech",IF(C288="Rozvaha",VLOOKUP(E288,radky_R!$A:$B,2,0),IF(C288="Výsledovka",VLOOKUP(E288,radky_V!A:M,2,0)))))</f>
        <v>ručně doplnit</v>
      </c>
      <c r="R288" s="179" t="str">
        <f>IF(ISBLANK(L288),"není alternativa",IF(L288="-","není ve výkazech",VLOOKUP(L288,radky_R!$A:$B,2,0)))</f>
        <v>není alternativa</v>
      </c>
      <c r="S288" s="189" t="s">
        <v>261</v>
      </c>
      <c r="T288" s="189" t="s">
        <v>637</v>
      </c>
    </row>
    <row r="289" spans="1:20" x14ac:dyDescent="0.2">
      <c r="A289" s="196">
        <v>581</v>
      </c>
      <c r="B289" s="189" t="s">
        <v>197</v>
      </c>
      <c r="C289" s="189" t="s">
        <v>510</v>
      </c>
      <c r="D289" s="503" t="s">
        <v>318</v>
      </c>
      <c r="E289" s="508">
        <v>7</v>
      </c>
      <c r="F289" s="504" t="s">
        <v>238</v>
      </c>
      <c r="G289" s="504"/>
      <c r="H289" s="504"/>
      <c r="I289" s="504"/>
      <c r="J289" s="504"/>
      <c r="K289" s="179" t="str">
        <f>IF(ISBLANK(E289),"ručně doplnit",IF(E289="-","není ve výkazech",IF(C289="Rozvaha",VLOOKUP(E289,radky_R!$A:$B,2,0),IF(C289="Výsledovka",VLOOKUP(E289,radky_V!A:M,2,0)))))</f>
        <v>Změna stavu zásob vlastní činnosti      +/-</v>
      </c>
      <c r="R289" s="179" t="str">
        <f>IF(ISBLANK(L289),"není alternativa",IF(L289="-","není ve výkazech",VLOOKUP(L289,radky_R!$A:$B,2,0)))</f>
        <v>není alternativa</v>
      </c>
      <c r="S289" s="189" t="s">
        <v>261</v>
      </c>
      <c r="T289" s="189" t="s">
        <v>635</v>
      </c>
    </row>
    <row r="290" spans="1:20" x14ac:dyDescent="0.2">
      <c r="A290" s="196">
        <v>582</v>
      </c>
      <c r="B290" s="189" t="s">
        <v>198</v>
      </c>
      <c r="C290" s="189" t="s">
        <v>510</v>
      </c>
      <c r="D290" s="503" t="s">
        <v>303</v>
      </c>
      <c r="E290" s="508">
        <v>7</v>
      </c>
      <c r="F290" s="504" t="s">
        <v>238</v>
      </c>
      <c r="G290" s="504"/>
      <c r="H290" s="504"/>
      <c r="I290" s="504"/>
      <c r="J290" s="504"/>
      <c r="K290" s="179" t="str">
        <f>IF(ISBLANK(E290),"ručně doplnit",IF(E290="-","není ve výkazech",IF(C290="Rozvaha",VLOOKUP(E290,radky_R!$A:$B,2,0),IF(C290="Výsledovka",VLOOKUP(E290,radky_V!A:M,2,0)))))</f>
        <v>Změna stavu zásob vlastní činnosti      +/-</v>
      </c>
      <c r="R290" s="179" t="str">
        <f>IF(ISBLANK(L290),"není alternativa",IF(L290="-","není ve výkazech",VLOOKUP(L290,radky_R!$A:$B,2,0)))</f>
        <v>není alternativa</v>
      </c>
      <c r="S290" s="189" t="s">
        <v>261</v>
      </c>
      <c r="T290" s="189" t="s">
        <v>635</v>
      </c>
    </row>
    <row r="291" spans="1:20" x14ac:dyDescent="0.2">
      <c r="A291" s="196">
        <v>583</v>
      </c>
      <c r="B291" s="189" t="s">
        <v>199</v>
      </c>
      <c r="C291" s="189" t="s">
        <v>510</v>
      </c>
      <c r="D291" s="503" t="s">
        <v>303</v>
      </c>
      <c r="E291" s="508">
        <v>7</v>
      </c>
      <c r="F291" s="504" t="s">
        <v>238</v>
      </c>
      <c r="G291" s="504"/>
      <c r="H291" s="504"/>
      <c r="I291" s="504"/>
      <c r="J291" s="504"/>
      <c r="K291" s="179" t="str">
        <f>IF(ISBLANK(E291),"ručně doplnit",IF(E291="-","není ve výkazech",IF(C291="Rozvaha",VLOOKUP(E291,radky_R!$A:$B,2,0),IF(C291="Výsledovka",VLOOKUP(E291,radky_V!A:M,2,0)))))</f>
        <v>Změna stavu zásob vlastní činnosti      +/-</v>
      </c>
      <c r="R291" s="179" t="str">
        <f>IF(ISBLANK(L291),"není alternativa",IF(L291="-","není ve výkazech",VLOOKUP(L291,radky_R!$A:$B,2,0)))</f>
        <v>není alternativa</v>
      </c>
      <c r="S291" s="189" t="s">
        <v>261</v>
      </c>
      <c r="T291" s="189" t="s">
        <v>635</v>
      </c>
    </row>
    <row r="292" spans="1:20" x14ac:dyDescent="0.2">
      <c r="A292" s="196">
        <v>584</v>
      </c>
      <c r="B292" s="189" t="s">
        <v>200</v>
      </c>
      <c r="C292" s="189" t="s">
        <v>510</v>
      </c>
      <c r="D292" s="503" t="s">
        <v>303</v>
      </c>
      <c r="E292" s="508">
        <v>7</v>
      </c>
      <c r="F292" s="504" t="s">
        <v>238</v>
      </c>
      <c r="G292" s="504"/>
      <c r="H292" s="504"/>
      <c r="I292" s="504"/>
      <c r="J292" s="504"/>
      <c r="K292" s="179" t="str">
        <f>IF(ISBLANK(E292),"ručně doplnit",IF(E292="-","není ve výkazech",IF(C292="Rozvaha",VLOOKUP(E292,radky_R!$A:$B,2,0),IF(C292="Výsledovka",VLOOKUP(E292,radky_V!A:M,2,0)))))</f>
        <v>Změna stavu zásob vlastní činnosti      +/-</v>
      </c>
      <c r="R292" s="179" t="str">
        <f>IF(ISBLANK(L292),"není alternativa",IF(L292="-","není ve výkazech",VLOOKUP(L292,radky_R!$A:$B,2,0)))</f>
        <v>není alternativa</v>
      </c>
      <c r="S292" s="189" t="s">
        <v>261</v>
      </c>
      <c r="T292" s="189" t="s">
        <v>635</v>
      </c>
    </row>
    <row r="293" spans="1:20" x14ac:dyDescent="0.2">
      <c r="A293" s="196">
        <v>585</v>
      </c>
      <c r="B293" s="189" t="s">
        <v>202</v>
      </c>
      <c r="C293" s="189" t="s">
        <v>510</v>
      </c>
      <c r="D293" s="503" t="s">
        <v>303</v>
      </c>
      <c r="E293" s="508">
        <v>8</v>
      </c>
      <c r="F293" s="504" t="s">
        <v>264</v>
      </c>
      <c r="G293" s="504"/>
      <c r="H293" s="504"/>
      <c r="I293" s="504"/>
      <c r="J293" s="504"/>
      <c r="K293" s="179" t="str">
        <f>IF(ISBLANK(E293),"ručně doplnit",IF(E293="-","není ve výkazech",IF(C293="Rozvaha",VLOOKUP(E293,radky_R!$A:$B,2,0),IF(C293="Výsledovka",VLOOKUP(E293,radky_V!A:M,2,0)))))</f>
        <v>Aktivace</v>
      </c>
      <c r="R293" s="179" t="str">
        <f>IF(ISBLANK(L293),"není alternativa",IF(L293="-","není ve výkazech",VLOOKUP(L293,radky_R!$A:$B,2,0)))</f>
        <v>není alternativa</v>
      </c>
      <c r="S293" s="189" t="s">
        <v>261</v>
      </c>
      <c r="T293" s="189" t="s">
        <v>635</v>
      </c>
    </row>
    <row r="294" spans="1:20" x14ac:dyDescent="0.2">
      <c r="A294" s="196">
        <v>586</v>
      </c>
      <c r="B294" s="189" t="s">
        <v>203</v>
      </c>
      <c r="C294" s="189" t="s">
        <v>510</v>
      </c>
      <c r="D294" s="503" t="s">
        <v>303</v>
      </c>
      <c r="E294" s="508">
        <v>8</v>
      </c>
      <c r="F294" s="504" t="s">
        <v>264</v>
      </c>
      <c r="G294" s="504"/>
      <c r="H294" s="504"/>
      <c r="I294" s="504"/>
      <c r="J294" s="504"/>
      <c r="K294" s="179" t="str">
        <f>IF(ISBLANK(E294),"ručně doplnit",IF(E294="-","není ve výkazech",IF(C294="Rozvaha",VLOOKUP(E294,radky_R!$A:$B,2,0),IF(C294="Výsledovka",VLOOKUP(E294,radky_V!A:M,2,0)))))</f>
        <v>Aktivace</v>
      </c>
      <c r="R294" s="179" t="str">
        <f>IF(ISBLANK(L294),"není alternativa",IF(L294="-","není ve výkazech",VLOOKUP(L294,radky_R!$A:$B,2,0)))</f>
        <v>není alternativa</v>
      </c>
      <c r="S294" s="189" t="s">
        <v>261</v>
      </c>
      <c r="T294" s="189" t="s">
        <v>635</v>
      </c>
    </row>
    <row r="295" spans="1:20" x14ac:dyDescent="0.2">
      <c r="A295" s="196">
        <v>587</v>
      </c>
      <c r="B295" s="189" t="s">
        <v>204</v>
      </c>
      <c r="C295" s="189" t="s">
        <v>510</v>
      </c>
      <c r="D295" s="503" t="s">
        <v>303</v>
      </c>
      <c r="E295" s="508">
        <v>8</v>
      </c>
      <c r="F295" s="504" t="s">
        <v>264</v>
      </c>
      <c r="G295" s="504"/>
      <c r="H295" s="504"/>
      <c r="I295" s="504"/>
      <c r="J295" s="504"/>
      <c r="K295" s="179" t="str">
        <f>IF(ISBLANK(E295),"ručně doplnit",IF(E295="-","není ve výkazech",IF(C295="Rozvaha",VLOOKUP(E295,radky_R!$A:$B,2,0),IF(C295="Výsledovka",VLOOKUP(E295,radky_V!A:M,2,0)))))</f>
        <v>Aktivace</v>
      </c>
      <c r="R295" s="179" t="str">
        <f>IF(ISBLANK(L295),"není alternativa",IF(L295="-","není ve výkazech",VLOOKUP(L295,radky_R!$A:$B,2,0)))</f>
        <v>není alternativa</v>
      </c>
      <c r="S295" s="189" t="s">
        <v>261</v>
      </c>
      <c r="T295" s="189" t="s">
        <v>633</v>
      </c>
    </row>
    <row r="296" spans="1:20" x14ac:dyDescent="0.2">
      <c r="A296" s="196">
        <v>588</v>
      </c>
      <c r="B296" s="189" t="s">
        <v>205</v>
      </c>
      <c r="C296" s="189" t="s">
        <v>510</v>
      </c>
      <c r="D296" s="503" t="s">
        <v>303</v>
      </c>
      <c r="E296" s="508">
        <v>8</v>
      </c>
      <c r="F296" s="504" t="s">
        <v>264</v>
      </c>
      <c r="G296" s="504"/>
      <c r="H296" s="504"/>
      <c r="I296" s="504"/>
      <c r="J296" s="504"/>
      <c r="K296" s="179" t="str">
        <f>IF(ISBLANK(E296),"ručně doplnit",IF(E296="-","není ve výkazech",IF(C296="Rozvaha",VLOOKUP(E296,radky_R!$A:$B,2,0),IF(C296="Výsledovka",VLOOKUP(E296,radky_V!A:M,2,0)))))</f>
        <v>Aktivace</v>
      </c>
      <c r="R296" s="179" t="str">
        <f>IF(ISBLANK(L296),"není alternativa",IF(L296="-","není ve výkazech",VLOOKUP(L296,radky_R!$A:$B,2,0)))</f>
        <v>není alternativa</v>
      </c>
      <c r="S296" s="189" t="s">
        <v>261</v>
      </c>
      <c r="T296" s="189" t="s">
        <v>633</v>
      </c>
    </row>
    <row r="297" spans="1:20" x14ac:dyDescent="0.2">
      <c r="A297" s="196">
        <v>589</v>
      </c>
      <c r="C297" s="189" t="s">
        <v>510</v>
      </c>
      <c r="D297" s="503" t="s">
        <v>303</v>
      </c>
      <c r="E297" s="196"/>
      <c r="K297" s="179" t="str">
        <f>IF(ISBLANK(E297),"ručně doplnit",IF(E297="-","není ve výkazech",IF(C297="Rozvaha",VLOOKUP(E297,radky_R!$A:$B,2,0),IF(C297="Výsledovka",VLOOKUP(E297,radky_V!A:M,2,0)))))</f>
        <v>ručně doplnit</v>
      </c>
      <c r="R297" s="179" t="str">
        <f>IF(ISBLANK(L297),"není alternativa",IF(L297="-","není ve výkazech",VLOOKUP(L297,radky_R!$A:$B,2,0)))</f>
        <v>není alternativa</v>
      </c>
      <c r="S297" s="189" t="s">
        <v>261</v>
      </c>
      <c r="T297" s="189" t="s">
        <v>636</v>
      </c>
    </row>
    <row r="298" spans="1:20" x14ac:dyDescent="0.2">
      <c r="A298" s="196">
        <v>591</v>
      </c>
      <c r="B298" s="189" t="s">
        <v>801</v>
      </c>
      <c r="C298" s="189" t="s">
        <v>510</v>
      </c>
      <c r="D298" s="503" t="s">
        <v>303</v>
      </c>
      <c r="E298" s="508">
        <v>51</v>
      </c>
      <c r="F298" s="504" t="s">
        <v>326</v>
      </c>
      <c r="G298" s="504" t="s">
        <v>240</v>
      </c>
      <c r="H298" s="504"/>
      <c r="I298" s="504"/>
      <c r="J298" s="504"/>
      <c r="K298" s="179" t="str">
        <f>IF(ISBLANK(E298),"ručně doplnit",IF(E298="-","není ve výkazech",IF(C298="Rozvaha",VLOOKUP(E298,radky_R!$A:$B,2,0),IF(C298="Výsledovka",VLOOKUP(E298,radky_V!A:M,2,0)))))</f>
        <v>Daň z příjmů splatná</v>
      </c>
      <c r="R298" s="179" t="str">
        <f>IF(ISBLANK(L298),"není alternativa",IF(L298="-","není ve výkazech",VLOOKUP(L298,radky_R!$A:$B,2,0)))</f>
        <v>není alternativa</v>
      </c>
      <c r="S298" s="189" t="s">
        <v>261</v>
      </c>
      <c r="T298" s="189" t="s">
        <v>639</v>
      </c>
    </row>
    <row r="299" spans="1:20" x14ac:dyDescent="0.2">
      <c r="A299" s="196">
        <v>592</v>
      </c>
      <c r="B299" s="189" t="s">
        <v>802</v>
      </c>
      <c r="C299" s="189" t="s">
        <v>510</v>
      </c>
      <c r="D299" s="503" t="s">
        <v>303</v>
      </c>
      <c r="E299" s="508">
        <v>52</v>
      </c>
      <c r="F299" s="504" t="s">
        <v>326</v>
      </c>
      <c r="G299" s="504" t="s">
        <v>241</v>
      </c>
      <c r="H299" s="504"/>
      <c r="I299" s="504"/>
      <c r="J299" s="504"/>
      <c r="K299" s="179" t="str">
        <f>IF(ISBLANK(E299),"ručně doplnit",IF(E299="-","není ve výkazech",IF(C299="Rozvaha",VLOOKUP(E299,radky_R!$A:$B,2,0),IF(C299="Výsledovka",VLOOKUP(E299,radky_V!A:M,2,0)))))</f>
        <v>Daň z příjmů odložená</v>
      </c>
      <c r="R299" s="179" t="str">
        <f>IF(ISBLANK(L299),"není alternativa",IF(L299="-","není ve výkazech",VLOOKUP(L299,radky_R!$A:$B,2,0)))</f>
        <v>není alternativa</v>
      </c>
      <c r="S299" s="189" t="s">
        <v>261</v>
      </c>
      <c r="T299" s="189" t="s">
        <v>639</v>
      </c>
    </row>
    <row r="300" spans="1:20" x14ac:dyDescent="0.2">
      <c r="A300" s="196">
        <v>593</v>
      </c>
      <c r="C300" s="189" t="s">
        <v>510</v>
      </c>
      <c r="D300" s="503" t="s">
        <v>303</v>
      </c>
      <c r="E300" s="196"/>
      <c r="K300" s="179" t="str">
        <f>IF(ISBLANK(E300),"ručně doplnit",IF(E300="-","není ve výkazech",IF(C300="Rozvaha",VLOOKUP(E300,radky_R!$A:$B,2,0),IF(C300="Výsledovka",VLOOKUP(E300,radky_V!A:M,2,0)))))</f>
        <v>ručně doplnit</v>
      </c>
      <c r="R300" s="179" t="str">
        <f>IF(ISBLANK(L300),"není alternativa",IF(L300="-","není ve výkazech",VLOOKUP(L300,radky_R!$A:$B,2,0)))</f>
        <v>není alternativa</v>
      </c>
      <c r="S300" s="189" t="s">
        <v>261</v>
      </c>
      <c r="T300" s="189" t="s">
        <v>639</v>
      </c>
    </row>
    <row r="301" spans="1:20" x14ac:dyDescent="0.2">
      <c r="A301" s="196">
        <v>594</v>
      </c>
      <c r="C301" s="189" t="s">
        <v>510</v>
      </c>
      <c r="D301" s="503" t="s">
        <v>303</v>
      </c>
      <c r="E301" s="196"/>
      <c r="K301" s="179" t="str">
        <f>IF(ISBLANK(E301),"ručně doplnit",IF(E301="-","není ve výkazech",IF(C301="Rozvaha",VLOOKUP(E301,radky_R!$A:$B,2,0),IF(C301="Výsledovka",VLOOKUP(E301,radky_V!A:M,2,0)))))</f>
        <v>ručně doplnit</v>
      </c>
      <c r="R301" s="179" t="str">
        <f>IF(ISBLANK(L301),"není alternativa",IF(L301="-","není ve výkazech",VLOOKUP(L301,radky_R!$A:$B,2,0)))</f>
        <v>není alternativa</v>
      </c>
      <c r="S301" s="189" t="s">
        <v>261</v>
      </c>
      <c r="T301" s="189" t="s">
        <v>639</v>
      </c>
    </row>
    <row r="302" spans="1:20" x14ac:dyDescent="0.2">
      <c r="A302" s="196">
        <v>595</v>
      </c>
      <c r="B302" s="189" t="s">
        <v>190</v>
      </c>
      <c r="C302" s="189" t="s">
        <v>510</v>
      </c>
      <c r="D302" s="503" t="s">
        <v>303</v>
      </c>
      <c r="E302" s="508">
        <v>51</v>
      </c>
      <c r="F302" s="504" t="s">
        <v>326</v>
      </c>
      <c r="G302" s="504" t="s">
        <v>240</v>
      </c>
      <c r="H302" s="504"/>
      <c r="I302" s="504"/>
      <c r="J302" s="504"/>
      <c r="K302" s="179" t="str">
        <f>IF(ISBLANK(E302),"ručně doplnit",IF(E302="-","není ve výkazech",IF(C302="Rozvaha",VLOOKUP(E302,radky_R!$A:$B,2,0),IF(C302="Výsledovka",VLOOKUP(E302,radky_V!A:M,2,0)))))</f>
        <v>Daň z příjmů splatná</v>
      </c>
      <c r="R302" s="179" t="str">
        <f>IF(ISBLANK(L302),"není alternativa",IF(L302="-","není ve výkazech",VLOOKUP(L302,radky_R!$A:$B,2,0)))</f>
        <v>není alternativa</v>
      </c>
      <c r="S302" s="189" t="s">
        <v>261</v>
      </c>
      <c r="T302" s="189" t="s">
        <v>639</v>
      </c>
    </row>
    <row r="303" spans="1:20" x14ac:dyDescent="0.2">
      <c r="A303" s="196">
        <v>596</v>
      </c>
      <c r="B303" s="189" t="s">
        <v>191</v>
      </c>
      <c r="C303" s="189" t="s">
        <v>510</v>
      </c>
      <c r="D303" s="503" t="s">
        <v>303</v>
      </c>
      <c r="E303" s="508">
        <v>54</v>
      </c>
      <c r="F303" s="504" t="s">
        <v>327</v>
      </c>
      <c r="G303" s="504"/>
      <c r="H303" s="504"/>
      <c r="I303" s="504"/>
      <c r="J303" s="504"/>
      <c r="K303" s="179" t="str">
        <f>IF(ISBLANK(E303),"ručně doplnit",IF(E303="-","není ve výkazech",IF(C303="Rozvaha",VLOOKUP(E303,radky_R!$A:$B,2,0),IF(C303="Výsledovka",VLOOKUP(E303,radky_V!A:M,2,0)))))</f>
        <v>Převod podílu na výsledku hospodaření společníkům      +/-</v>
      </c>
      <c r="R303" s="179" t="str">
        <f>IF(ISBLANK(L303),"není alternativa",IF(L303="-","není ve výkazech",VLOOKUP(L303,radky_R!$A:$B,2,0)))</f>
        <v>není alternativa</v>
      </c>
      <c r="S303" s="189" t="s">
        <v>261</v>
      </c>
      <c r="T303" s="189" t="s">
        <v>634</v>
      </c>
    </row>
    <row r="304" spans="1:20" x14ac:dyDescent="0.2">
      <c r="A304" s="196">
        <v>597</v>
      </c>
      <c r="B304" s="189" t="s">
        <v>192</v>
      </c>
      <c r="C304" s="189" t="s">
        <v>510</v>
      </c>
      <c r="D304" s="503" t="s">
        <v>318</v>
      </c>
      <c r="E304" s="508">
        <v>29</v>
      </c>
      <c r="F304" s="504" t="s">
        <v>311</v>
      </c>
      <c r="G304" s="504" t="s">
        <v>244</v>
      </c>
      <c r="H304" s="504"/>
      <c r="I304" s="504"/>
      <c r="J304" s="504"/>
      <c r="K304" s="179" t="str">
        <f>IF(ISBLANK(E304),"ručně doplnit",IF(E304="-","není ve výkazech",IF(C304="Rozvaha",VLOOKUP(E304,radky_R!$A:$B,2,0),IF(C304="Výsledovka",VLOOKUP(E304,radky_V!A:M,2,0)))))</f>
        <v>Jiné provozní náklady</v>
      </c>
      <c r="R304" s="179" t="str">
        <f>IF(ISBLANK(L304),"není alternativa",IF(L304="-","není ve výkazech",VLOOKUP(L304,radky_R!$A:$B,2,0)))</f>
        <v>není alternativa</v>
      </c>
      <c r="S304" s="189" t="s">
        <v>261</v>
      </c>
      <c r="T304" s="189" t="s">
        <v>634</v>
      </c>
    </row>
    <row r="305" spans="1:20" x14ac:dyDescent="0.2">
      <c r="A305" s="196">
        <v>598</v>
      </c>
      <c r="B305" s="189" t="s">
        <v>193</v>
      </c>
      <c r="C305" s="189" t="s">
        <v>510</v>
      </c>
      <c r="D305" s="503" t="s">
        <v>318</v>
      </c>
      <c r="E305" s="508">
        <v>47</v>
      </c>
      <c r="F305" s="504" t="s">
        <v>325</v>
      </c>
      <c r="G305" s="504"/>
      <c r="H305" s="504"/>
      <c r="I305" s="504"/>
      <c r="J305" s="504"/>
      <c r="K305" s="179" t="str">
        <f>IF(ISBLANK(E305),"ručně doplnit",IF(E305="-","není ve výkazech",IF(C305="Rozvaha",VLOOKUP(E305,radky_R!$A:$B,2,0),IF(C305="Výsledovka",VLOOKUP(E305,radky_V!A:M,2,0)))))</f>
        <v>Ostatní finanční náklady</v>
      </c>
      <c r="R305" s="179" t="str">
        <f>IF(ISBLANK(L305),"není alternativa",IF(L305="-","není ve výkazech",VLOOKUP(L305,radky_R!$A:$B,2,0)))</f>
        <v>není alternativa</v>
      </c>
      <c r="S305" s="189" t="s">
        <v>261</v>
      </c>
      <c r="T305" s="189" t="s">
        <v>634</v>
      </c>
    </row>
    <row r="306" spans="1:20" x14ac:dyDescent="0.2">
      <c r="A306" s="196">
        <v>599</v>
      </c>
      <c r="B306" s="189" t="s">
        <v>803</v>
      </c>
      <c r="C306" s="189" t="s">
        <v>510</v>
      </c>
      <c r="D306" s="503" t="s">
        <v>303</v>
      </c>
      <c r="E306" s="508">
        <v>51</v>
      </c>
      <c r="F306" s="504" t="s">
        <v>326</v>
      </c>
      <c r="G306" s="504" t="s">
        <v>240</v>
      </c>
      <c r="H306" s="504"/>
      <c r="I306" s="504"/>
      <c r="J306" s="504"/>
      <c r="K306" s="179" t="str">
        <f>IF(ISBLANK(E306),"ručně doplnit",IF(E306="-","není ve výkazech",IF(C306="Rozvaha",VLOOKUP(E306,radky_R!$A:$B,2,0),IF(C306="Výsledovka",VLOOKUP(E306,radky_V!A:M,2,0)))))</f>
        <v>Daň z příjmů splatná</v>
      </c>
      <c r="R306" s="179" t="str">
        <f>IF(ISBLANK(L306),"není alternativa",IF(L306="-","není ve výkazech",VLOOKUP(L306,radky_R!$A:$B,2,0)))</f>
        <v>není alternativa</v>
      </c>
      <c r="S306" s="189" t="s">
        <v>261</v>
      </c>
      <c r="T306" s="189" t="s">
        <v>639</v>
      </c>
    </row>
    <row r="307" spans="1:20" x14ac:dyDescent="0.2">
      <c r="A307" s="196">
        <v>601</v>
      </c>
      <c r="B307" s="189" t="s">
        <v>194</v>
      </c>
      <c r="C307" s="189" t="s">
        <v>510</v>
      </c>
      <c r="D307" s="503" t="s">
        <v>319</v>
      </c>
      <c r="E307" s="508">
        <v>1</v>
      </c>
      <c r="F307" s="504" t="s">
        <v>239</v>
      </c>
      <c r="G307" s="504"/>
      <c r="H307" s="504"/>
      <c r="I307" s="504"/>
      <c r="J307" s="504"/>
      <c r="K307" s="179" t="str">
        <f>IF(ISBLANK(E307),"ručně doplnit",IF(E307="-","není ve výkazech",IF(C307="Rozvaha",VLOOKUP(E307,radky_R!$A:$B,2,0),IF(C307="Výsledovka",VLOOKUP(E307,radky_V!A:M,2,0)))))</f>
        <v>Tržby za prodej výrobků a služeb</v>
      </c>
      <c r="R307" s="179" t="str">
        <f>IF(ISBLANK(L307),"není alternativa",IF(L307="-","není ve výkazech",VLOOKUP(L307,radky_R!$A:$B,2,0)))</f>
        <v>není alternativa</v>
      </c>
      <c r="S307" s="189" t="s">
        <v>261</v>
      </c>
      <c r="T307" s="189" t="s">
        <v>636</v>
      </c>
    </row>
    <row r="308" spans="1:20" x14ac:dyDescent="0.2">
      <c r="A308" s="196">
        <v>602</v>
      </c>
      <c r="B308" s="189" t="s">
        <v>195</v>
      </c>
      <c r="C308" s="189" t="s">
        <v>510</v>
      </c>
      <c r="D308" s="503" t="s">
        <v>319</v>
      </c>
      <c r="E308" s="508">
        <v>1</v>
      </c>
      <c r="F308" s="504" t="s">
        <v>239</v>
      </c>
      <c r="G308" s="504"/>
      <c r="H308" s="504"/>
      <c r="I308" s="504"/>
      <c r="J308" s="504"/>
      <c r="K308" s="179" t="str">
        <f>IF(ISBLANK(E308),"ručně doplnit",IF(E308="-","není ve výkazech",IF(C308="Rozvaha",VLOOKUP(E308,radky_R!$A:$B,2,0),IF(C308="Výsledovka",VLOOKUP(E308,radky_V!A:M,2,0)))))</f>
        <v>Tržby za prodej výrobků a služeb</v>
      </c>
      <c r="R308" s="179" t="str">
        <f>IF(ISBLANK(L308),"není alternativa",IF(L308="-","není ve výkazech",VLOOKUP(L308,radky_R!$A:$B,2,0)))</f>
        <v>není alternativa</v>
      </c>
      <c r="S308" s="189" t="s">
        <v>261</v>
      </c>
      <c r="T308" s="189" t="s">
        <v>636</v>
      </c>
    </row>
    <row r="309" spans="1:20" x14ac:dyDescent="0.2">
      <c r="A309" s="196">
        <v>604</v>
      </c>
      <c r="B309" s="189" t="s">
        <v>196</v>
      </c>
      <c r="C309" s="189" t="s">
        <v>510</v>
      </c>
      <c r="D309" s="503" t="s">
        <v>319</v>
      </c>
      <c r="E309" s="508">
        <v>2</v>
      </c>
      <c r="F309" s="504" t="s">
        <v>249</v>
      </c>
      <c r="G309" s="504"/>
      <c r="H309" s="504"/>
      <c r="I309" s="504"/>
      <c r="J309" s="504"/>
      <c r="K309" s="179" t="str">
        <f>IF(ISBLANK(E309),"ručně doplnit",IF(E309="-","není ve výkazech",IF(C309="Rozvaha",VLOOKUP(E309,radky_R!$A:$B,2,0),IF(C309="Výsledovka",VLOOKUP(E309,radky_V!A:M,2,0)))))</f>
        <v xml:space="preserve">Tržby za prodej zboží </v>
      </c>
      <c r="R309" s="179" t="str">
        <f>IF(ISBLANK(L309),"není alternativa",IF(L309="-","není ve výkazech",VLOOKUP(L309,radky_R!$A:$B,2,0)))</f>
        <v>není alternativa</v>
      </c>
      <c r="S309" s="189" t="s">
        <v>261</v>
      </c>
      <c r="T309" s="189" t="s">
        <v>636</v>
      </c>
    </row>
    <row r="310" spans="1:20" x14ac:dyDescent="0.2">
      <c r="A310" s="196">
        <v>611</v>
      </c>
      <c r="B310" s="189" t="s">
        <v>197</v>
      </c>
      <c r="C310" s="189" t="s">
        <v>510</v>
      </c>
      <c r="D310" s="503" t="s">
        <v>319</v>
      </c>
      <c r="E310" s="508">
        <v>7</v>
      </c>
      <c r="F310" s="504" t="s">
        <v>238</v>
      </c>
      <c r="G310" s="504"/>
      <c r="H310" s="504"/>
      <c r="I310" s="504"/>
      <c r="J310" s="504"/>
      <c r="K310" s="179" t="str">
        <f>IF(ISBLANK(E310),"ručně doplnit",IF(E310="-","není ve výkazech",IF(C310="Rozvaha",VLOOKUP(E310,radky_R!$A:$B,2,0),IF(C310="Výsledovka",VLOOKUP(E310,radky_V!A:M,2,0)))))</f>
        <v>Změna stavu zásob vlastní činnosti      +/-</v>
      </c>
      <c r="R310" s="179" t="str">
        <f>IF(ISBLANK(L310),"není alternativa",IF(L310="-","není ve výkazech",VLOOKUP(L310,radky_R!$A:$B,2,0)))</f>
        <v>není alternativa</v>
      </c>
      <c r="S310" s="189" t="s">
        <v>261</v>
      </c>
      <c r="T310" s="189" t="s">
        <v>635</v>
      </c>
    </row>
    <row r="311" spans="1:20" x14ac:dyDescent="0.2">
      <c r="A311" s="196">
        <v>612</v>
      </c>
      <c r="B311" s="189" t="s">
        <v>198</v>
      </c>
      <c r="C311" s="189" t="s">
        <v>510</v>
      </c>
      <c r="D311" s="503" t="s">
        <v>319</v>
      </c>
      <c r="E311" s="508">
        <v>7</v>
      </c>
      <c r="F311" s="504" t="s">
        <v>238</v>
      </c>
      <c r="G311" s="504"/>
      <c r="H311" s="504"/>
      <c r="I311" s="504"/>
      <c r="J311" s="504"/>
      <c r="K311" s="179" t="str">
        <f>IF(ISBLANK(E311),"ručně doplnit",IF(E311="-","není ve výkazech",IF(C311="Rozvaha",VLOOKUP(E311,radky_R!$A:$B,2,0),IF(C311="Výsledovka",VLOOKUP(E311,radky_V!A:M,2,0)))))</f>
        <v>Změna stavu zásob vlastní činnosti      +/-</v>
      </c>
      <c r="R311" s="179" t="str">
        <f>IF(ISBLANK(L311),"není alternativa",IF(L311="-","není ve výkazech",VLOOKUP(L311,radky_R!$A:$B,2,0)))</f>
        <v>není alternativa</v>
      </c>
      <c r="S311" s="189" t="s">
        <v>261</v>
      </c>
      <c r="T311" s="189" t="s">
        <v>635</v>
      </c>
    </row>
    <row r="312" spans="1:20" x14ac:dyDescent="0.2">
      <c r="A312" s="196">
        <v>613</v>
      </c>
      <c r="B312" s="189" t="s">
        <v>199</v>
      </c>
      <c r="C312" s="189" t="s">
        <v>510</v>
      </c>
      <c r="D312" s="503" t="s">
        <v>319</v>
      </c>
      <c r="E312" s="508">
        <v>7</v>
      </c>
      <c r="F312" s="504" t="s">
        <v>238</v>
      </c>
      <c r="G312" s="504"/>
      <c r="H312" s="504"/>
      <c r="I312" s="504"/>
      <c r="J312" s="504"/>
      <c r="K312" s="179" t="str">
        <f>IF(ISBLANK(E312),"ručně doplnit",IF(E312="-","není ve výkazech",IF(C312="Rozvaha",VLOOKUP(E312,radky_R!$A:$B,2,0),IF(C312="Výsledovka",VLOOKUP(E312,radky_V!A:M,2,0)))))</f>
        <v>Změna stavu zásob vlastní činnosti      +/-</v>
      </c>
      <c r="R312" s="179" t="str">
        <f>IF(ISBLANK(L312),"není alternativa",IF(L312="-","není ve výkazech",VLOOKUP(L312,radky_R!$A:$B,2,0)))</f>
        <v>není alternativa</v>
      </c>
      <c r="S312" s="189" t="s">
        <v>261</v>
      </c>
      <c r="T312" s="189" t="s">
        <v>635</v>
      </c>
    </row>
    <row r="313" spans="1:20" x14ac:dyDescent="0.2">
      <c r="A313" s="196">
        <v>614</v>
      </c>
      <c r="B313" s="189" t="s">
        <v>200</v>
      </c>
      <c r="C313" s="189" t="s">
        <v>510</v>
      </c>
      <c r="D313" s="503" t="s">
        <v>319</v>
      </c>
      <c r="E313" s="508">
        <v>7</v>
      </c>
      <c r="F313" s="504" t="s">
        <v>238</v>
      </c>
      <c r="G313" s="504"/>
      <c r="H313" s="504"/>
      <c r="I313" s="504"/>
      <c r="J313" s="504"/>
      <c r="K313" s="179" t="str">
        <f>IF(ISBLANK(E313),"ručně doplnit",IF(E313="-","není ve výkazech",IF(C313="Rozvaha",VLOOKUP(E313,radky_R!$A:$B,2,0),IF(C313="Výsledovka",VLOOKUP(E313,radky_V!A:M,2,0)))))</f>
        <v>Změna stavu zásob vlastní činnosti      +/-</v>
      </c>
      <c r="R313" s="179" t="str">
        <f>IF(ISBLANK(L313),"není alternativa",IF(L313="-","není ve výkazech",VLOOKUP(L313,radky_R!$A:$B,2,0)))</f>
        <v>není alternativa</v>
      </c>
      <c r="S313" s="189" t="s">
        <v>261</v>
      </c>
      <c r="T313" s="189" t="s">
        <v>635</v>
      </c>
    </row>
    <row r="314" spans="1:20" x14ac:dyDescent="0.2">
      <c r="A314" s="196">
        <v>621</v>
      </c>
      <c r="B314" s="189" t="s">
        <v>202</v>
      </c>
      <c r="C314" s="189" t="s">
        <v>510</v>
      </c>
      <c r="D314" s="503" t="s">
        <v>319</v>
      </c>
      <c r="E314" s="508">
        <v>8</v>
      </c>
      <c r="F314" s="504" t="s">
        <v>264</v>
      </c>
      <c r="G314" s="504"/>
      <c r="H314" s="504"/>
      <c r="I314" s="504"/>
      <c r="J314" s="504"/>
      <c r="K314" s="179" t="str">
        <f>IF(ISBLANK(E314),"ručně doplnit",IF(E314="-","není ve výkazech",IF(C314="Rozvaha",VLOOKUP(E314,radky_R!$A:$B,2,0),IF(C314="Výsledovka",VLOOKUP(E314,radky_V!A:M,2,0)))))</f>
        <v>Aktivace</v>
      </c>
      <c r="R314" s="179" t="str">
        <f>IF(ISBLANK(L314),"není alternativa",IF(L314="-","není ve výkazech",VLOOKUP(L314,radky_R!$A:$B,2,0)))</f>
        <v>není alternativa</v>
      </c>
      <c r="S314" s="189" t="s">
        <v>261</v>
      </c>
      <c r="T314" s="189" t="s">
        <v>635</v>
      </c>
    </row>
    <row r="315" spans="1:20" x14ac:dyDescent="0.2">
      <c r="A315" s="196">
        <v>622</v>
      </c>
      <c r="B315" s="189" t="s">
        <v>203</v>
      </c>
      <c r="C315" s="189" t="s">
        <v>510</v>
      </c>
      <c r="D315" s="503" t="s">
        <v>319</v>
      </c>
      <c r="E315" s="508">
        <v>8</v>
      </c>
      <c r="F315" s="504" t="s">
        <v>264</v>
      </c>
      <c r="G315" s="504"/>
      <c r="H315" s="504"/>
      <c r="I315" s="504"/>
      <c r="J315" s="504"/>
      <c r="K315" s="179" t="str">
        <f>IF(ISBLANK(E315),"ručně doplnit",IF(E315="-","není ve výkazech",IF(C315="Rozvaha",VLOOKUP(E315,radky_R!$A:$B,2,0),IF(C315="Výsledovka",VLOOKUP(E315,radky_V!A:M,2,0)))))</f>
        <v>Aktivace</v>
      </c>
      <c r="R315" s="179" t="str">
        <f>IF(ISBLANK(L315),"není alternativa",IF(L315="-","není ve výkazech",VLOOKUP(L315,radky_R!$A:$B,2,0)))</f>
        <v>není alternativa</v>
      </c>
      <c r="S315" s="189" t="s">
        <v>261</v>
      </c>
      <c r="T315" s="189" t="s">
        <v>635</v>
      </c>
    </row>
    <row r="316" spans="1:20" x14ac:dyDescent="0.2">
      <c r="A316" s="196">
        <v>623</v>
      </c>
      <c r="B316" s="189" t="s">
        <v>204</v>
      </c>
      <c r="C316" s="189" t="s">
        <v>510</v>
      </c>
      <c r="D316" s="503" t="s">
        <v>319</v>
      </c>
      <c r="E316" s="508">
        <v>8</v>
      </c>
      <c r="F316" s="504" t="s">
        <v>264</v>
      </c>
      <c r="G316" s="504"/>
      <c r="H316" s="504"/>
      <c r="I316" s="504"/>
      <c r="J316" s="504"/>
      <c r="K316" s="179" t="str">
        <f>IF(ISBLANK(E316),"ručně doplnit",IF(E316="-","není ve výkazech",IF(C316="Rozvaha",VLOOKUP(E316,radky_R!$A:$B,2,0),IF(C316="Výsledovka",VLOOKUP(E316,radky_V!A:M,2,0)))))</f>
        <v>Aktivace</v>
      </c>
      <c r="R316" s="179" t="str">
        <f>IF(ISBLANK(L316),"není alternativa",IF(L316="-","není ve výkazech",VLOOKUP(L316,radky_R!$A:$B,2,0)))</f>
        <v>není alternativa</v>
      </c>
      <c r="S316" s="189" t="s">
        <v>261</v>
      </c>
      <c r="T316" s="189" t="s">
        <v>633</v>
      </c>
    </row>
    <row r="317" spans="1:20" x14ac:dyDescent="0.2">
      <c r="A317" s="196">
        <v>624</v>
      </c>
      <c r="B317" s="189" t="s">
        <v>205</v>
      </c>
      <c r="C317" s="189" t="s">
        <v>510</v>
      </c>
      <c r="D317" s="503" t="s">
        <v>319</v>
      </c>
      <c r="E317" s="508">
        <v>8</v>
      </c>
      <c r="F317" s="504" t="s">
        <v>264</v>
      </c>
      <c r="G317" s="504"/>
      <c r="H317" s="504"/>
      <c r="I317" s="504"/>
      <c r="J317" s="504"/>
      <c r="K317" s="179" t="str">
        <f>IF(ISBLANK(E317),"ručně doplnit",IF(E317="-","není ve výkazech",IF(C317="Rozvaha",VLOOKUP(E317,radky_R!$A:$B,2,0),IF(C317="Výsledovka",VLOOKUP(E317,radky_V!A:M,2,0)))))</f>
        <v>Aktivace</v>
      </c>
      <c r="R317" s="179" t="str">
        <f>IF(ISBLANK(L317),"není alternativa",IF(L317="-","není ve výkazech",VLOOKUP(L317,radky_R!$A:$B,2,0)))</f>
        <v>není alternativa</v>
      </c>
      <c r="S317" s="189" t="s">
        <v>261</v>
      </c>
      <c r="T317" s="189" t="s">
        <v>633</v>
      </c>
    </row>
    <row r="318" spans="1:20" x14ac:dyDescent="0.2">
      <c r="A318" s="196">
        <v>641</v>
      </c>
      <c r="B318" s="189" t="s">
        <v>206</v>
      </c>
      <c r="C318" s="189" t="s">
        <v>510</v>
      </c>
      <c r="D318" s="503" t="s">
        <v>319</v>
      </c>
      <c r="E318" s="508">
        <v>21</v>
      </c>
      <c r="F318" s="504" t="s">
        <v>254</v>
      </c>
      <c r="G318" s="504" t="s">
        <v>240</v>
      </c>
      <c r="H318" s="504"/>
      <c r="I318" s="504"/>
      <c r="J318" s="504"/>
      <c r="K318" s="179" t="str">
        <f>IF(ISBLANK(E318),"ručně doplnit",IF(E318="-","není ve výkazech",IF(C318="Rozvaha",VLOOKUP(E318,radky_R!$A:$B,2,0),IF(C318="Výsledovka",VLOOKUP(E318,radky_V!A:M,2,0)))))</f>
        <v xml:space="preserve">Tržby z prodaného dlouhodobého majetku </v>
      </c>
      <c r="R318" s="179" t="str">
        <f>IF(ISBLANK(L318),"není alternativa",IF(L318="-","není ve výkazech",VLOOKUP(L318,radky_R!$A:$B,2,0)))</f>
        <v>není alternativa</v>
      </c>
      <c r="S318" s="189" t="s">
        <v>261</v>
      </c>
      <c r="T318" s="189" t="s">
        <v>633</v>
      </c>
    </row>
    <row r="319" spans="1:20" x14ac:dyDescent="0.2">
      <c r="A319" s="196">
        <v>642</v>
      </c>
      <c r="B319" s="189" t="s">
        <v>207</v>
      </c>
      <c r="C319" s="189" t="s">
        <v>510</v>
      </c>
      <c r="D319" s="503" t="s">
        <v>319</v>
      </c>
      <c r="E319" s="508">
        <v>22</v>
      </c>
      <c r="F319" s="504" t="s">
        <v>254</v>
      </c>
      <c r="G319" s="504" t="s">
        <v>241</v>
      </c>
      <c r="H319" s="504"/>
      <c r="I319" s="504"/>
      <c r="J319" s="504"/>
      <c r="K319" s="179" t="str">
        <f>IF(ISBLANK(E319),"ručně doplnit",IF(E319="-","není ve výkazech",IF(C319="Rozvaha",VLOOKUP(E319,radky_R!$A:$B,2,0),IF(C319="Výsledovka",VLOOKUP(E319,radky_V!A:M,2,0)))))</f>
        <v>Tržby z prodaného materiálu</v>
      </c>
      <c r="R319" s="179" t="str">
        <f>IF(ISBLANK(L319),"není alternativa",IF(L319="-","není ve výkazech",VLOOKUP(L319,radky_R!$A:$B,2,0)))</f>
        <v>není alternativa</v>
      </c>
      <c r="S319" s="189" t="s">
        <v>261</v>
      </c>
      <c r="T319" s="189" t="s">
        <v>635</v>
      </c>
    </row>
    <row r="320" spans="1:20" x14ac:dyDescent="0.2">
      <c r="A320" s="196">
        <v>644</v>
      </c>
      <c r="B320" s="189" t="s">
        <v>168</v>
      </c>
      <c r="C320" s="189" t="s">
        <v>510</v>
      </c>
      <c r="D320" s="503" t="s">
        <v>319</v>
      </c>
      <c r="E320" s="508">
        <v>23</v>
      </c>
      <c r="F320" s="504" t="s">
        <v>254</v>
      </c>
      <c r="G320" s="504">
        <v>3</v>
      </c>
      <c r="H320" s="504"/>
      <c r="I320" s="504"/>
      <c r="J320" s="504"/>
      <c r="K320" s="179" t="str">
        <f>IF(ISBLANK(E320),"ručně doplnit",IF(E320="-","není ve výkazech",IF(C320="Rozvaha",VLOOKUP(E320,radky_R!$A:$B,2,0),IF(C320="Výsledovka",VLOOKUP(E320,radky_V!A:M,2,0)))))</f>
        <v>Jiné provozní výnosy</v>
      </c>
      <c r="R320" s="179" t="str">
        <f>IF(ISBLANK(L320),"není alternativa",IF(L320="-","není ve výkazech",VLOOKUP(L320,radky_R!$A:$B,2,0)))</f>
        <v>není alternativa</v>
      </c>
      <c r="S320" s="189" t="s">
        <v>261</v>
      </c>
      <c r="T320" s="189" t="s">
        <v>636</v>
      </c>
    </row>
    <row r="321" spans="1:20" x14ac:dyDescent="0.2">
      <c r="A321" s="196">
        <v>646</v>
      </c>
      <c r="B321" s="189" t="s">
        <v>208</v>
      </c>
      <c r="C321" s="189" t="s">
        <v>510</v>
      </c>
      <c r="D321" s="503" t="s">
        <v>319</v>
      </c>
      <c r="E321" s="508">
        <v>23</v>
      </c>
      <c r="F321" s="504" t="s">
        <v>254</v>
      </c>
      <c r="G321" s="504">
        <v>3</v>
      </c>
      <c r="H321" s="504"/>
      <c r="I321" s="504"/>
      <c r="J321" s="504"/>
      <c r="K321" s="179" t="str">
        <f>IF(ISBLANK(E321),"ručně doplnit",IF(E321="-","není ve výkazech",IF(C321="Rozvaha",VLOOKUP(E321,radky_R!$A:$B,2,0),IF(C321="Výsledovka",VLOOKUP(E321,radky_V!A:M,2,0)))))</f>
        <v>Jiné provozní výnosy</v>
      </c>
      <c r="R321" s="179" t="str">
        <f>IF(ISBLANK(L321),"není alternativa",IF(L321="-","není ve výkazech",VLOOKUP(L321,radky_R!$A:$B,2,0)))</f>
        <v>není alternativa</v>
      </c>
      <c r="S321" s="189" t="s">
        <v>261</v>
      </c>
      <c r="T321" s="189" t="s">
        <v>636</v>
      </c>
    </row>
    <row r="322" spans="1:20" x14ac:dyDescent="0.2">
      <c r="A322" s="196">
        <v>648</v>
      </c>
      <c r="B322" s="189" t="s">
        <v>209</v>
      </c>
      <c r="C322" s="189" t="s">
        <v>510</v>
      </c>
      <c r="D322" s="503" t="s">
        <v>319</v>
      </c>
      <c r="E322" s="508">
        <v>23</v>
      </c>
      <c r="F322" s="504" t="s">
        <v>254</v>
      </c>
      <c r="G322" s="504">
        <v>3</v>
      </c>
      <c r="H322" s="504"/>
      <c r="I322" s="504"/>
      <c r="J322" s="504"/>
      <c r="K322" s="179" t="str">
        <f>IF(ISBLANK(E322),"ručně doplnit",IF(E322="-","není ve výkazech",IF(C322="Rozvaha",VLOOKUP(E322,radky_R!$A:$B,2,0),IF(C322="Výsledovka",VLOOKUP(E322,radky_V!A:M,2,0)))))</f>
        <v>Jiné provozní výnosy</v>
      </c>
      <c r="R322" s="179" t="str">
        <f>IF(ISBLANK(L322),"není alternativa",IF(L322="-","není ve výkazech",VLOOKUP(L322,radky_R!$A:$B,2,0)))</f>
        <v>není alternativa</v>
      </c>
      <c r="S322" s="189" t="s">
        <v>261</v>
      </c>
      <c r="T322" s="189" t="s">
        <v>636</v>
      </c>
    </row>
    <row r="323" spans="1:20" x14ac:dyDescent="0.2">
      <c r="A323" s="196">
        <v>649</v>
      </c>
      <c r="B323" s="189" t="s">
        <v>804</v>
      </c>
      <c r="C323" s="189" t="s">
        <v>510</v>
      </c>
      <c r="D323" s="503" t="s">
        <v>319</v>
      </c>
      <c r="E323" s="508">
        <v>23</v>
      </c>
      <c r="F323" s="504" t="s">
        <v>254</v>
      </c>
      <c r="G323" s="504">
        <v>3</v>
      </c>
      <c r="H323" s="504"/>
      <c r="I323" s="504"/>
      <c r="J323" s="504"/>
      <c r="K323" s="179" t="str">
        <f>IF(ISBLANK(E323),"ručně doplnit",IF(E323="-","není ve výkazech",IF(C323="Rozvaha",VLOOKUP(E323,radky_R!$A:$B,2,0),IF(C323="Výsledovka",VLOOKUP(E323,radky_V!A:M,2,0)))))</f>
        <v>Jiné provozní výnosy</v>
      </c>
      <c r="R323" s="179" t="str">
        <f>IF(ISBLANK(L323),"není alternativa",IF(L323="-","není ve výkazech",VLOOKUP(L323,radky_R!$A:$B,2,0)))</f>
        <v>není alternativa</v>
      </c>
      <c r="S323" s="189" t="s">
        <v>261</v>
      </c>
      <c r="T323" s="189" t="s">
        <v>636</v>
      </c>
    </row>
    <row r="324" spans="1:20" x14ac:dyDescent="0.2">
      <c r="A324" s="196">
        <v>661</v>
      </c>
      <c r="B324" s="189" t="s">
        <v>210</v>
      </c>
      <c r="C324" s="189" t="s">
        <v>510</v>
      </c>
      <c r="D324" s="503" t="s">
        <v>319</v>
      </c>
      <c r="E324" s="508"/>
      <c r="F324" s="504" t="s">
        <v>272</v>
      </c>
      <c r="G324" s="504" t="s">
        <v>240</v>
      </c>
      <c r="H324" s="504"/>
      <c r="I324" s="504"/>
      <c r="J324" s="504"/>
      <c r="K324" s="179" t="str">
        <f>IF(ISBLANK(E324),"ručně doplnit",IF(E324="-","není ve výkazech",IF(C324="Rozvaha",VLOOKUP(E324,radky_R!$A:$B,2,0),IF(C324="Výsledovka",VLOOKUP(E324,radky_V!A:M,2,0)))))</f>
        <v>ručně doplnit</v>
      </c>
      <c r="R324" s="179" t="str">
        <f>IF(ISBLANK(L324),"není alternativa",IF(L324="-","není ve výkazech",VLOOKUP(L324,radky_R!$A:$B,2,0)))</f>
        <v>není alternativa</v>
      </c>
      <c r="S324" s="189" t="s">
        <v>261</v>
      </c>
      <c r="T324" s="189" t="s">
        <v>634</v>
      </c>
    </row>
    <row r="325" spans="1:20" x14ac:dyDescent="0.2">
      <c r="A325" s="196">
        <v>661</v>
      </c>
      <c r="B325" s="189" t="s">
        <v>210</v>
      </c>
      <c r="C325" s="189" t="s">
        <v>510</v>
      </c>
      <c r="D325" s="503" t="s">
        <v>319</v>
      </c>
      <c r="E325" s="508"/>
      <c r="F325" s="504" t="s">
        <v>272</v>
      </c>
      <c r="G325" s="504" t="s">
        <v>241</v>
      </c>
      <c r="H325" s="504"/>
      <c r="I325" s="504"/>
      <c r="J325" s="504"/>
      <c r="K325" s="179" t="str">
        <f>IF(ISBLANK(E325),"ručně doplnit",IF(E325="-","není ve výkazech",IF(C325="Rozvaha",VLOOKUP(E325,radky_R!$A:$B,2,0),IF(C325="Výsledovka",VLOOKUP(E325,radky_V!A:M,2,0)))))</f>
        <v>ručně doplnit</v>
      </c>
      <c r="R325" s="179" t="str">
        <f>IF(ISBLANK(L325),"není alternativa",IF(L325="-","není ve výkazech",VLOOKUP(L325,radky_R!$A:$B,2,0)))</f>
        <v>není alternativa</v>
      </c>
      <c r="S325" s="189" t="s">
        <v>261</v>
      </c>
      <c r="T325" s="189" t="s">
        <v>634</v>
      </c>
    </row>
    <row r="326" spans="1:20" x14ac:dyDescent="0.2">
      <c r="A326" s="196">
        <v>661</v>
      </c>
      <c r="B326" s="189" t="s">
        <v>210</v>
      </c>
      <c r="C326" s="189" t="s">
        <v>510</v>
      </c>
      <c r="D326" s="503" t="s">
        <v>319</v>
      </c>
      <c r="E326" s="508"/>
      <c r="F326" s="504" t="s">
        <v>280</v>
      </c>
      <c r="G326" s="504" t="s">
        <v>240</v>
      </c>
      <c r="H326" s="504"/>
      <c r="I326" s="504"/>
      <c r="J326" s="504"/>
      <c r="K326" s="179" t="str">
        <f>IF(ISBLANK(E326),"ručně doplnit",IF(E326="-","není ve výkazech",IF(C326="Rozvaha",VLOOKUP(E326,radky_R!$A:$B,2,0),IF(C326="Výsledovka",VLOOKUP(E326,radky_V!A:M,2,0)))))</f>
        <v>ručně doplnit</v>
      </c>
      <c r="R326" s="179" t="str">
        <f>IF(ISBLANK(L326),"není alternativa",IF(L326="-","není ve výkazech",VLOOKUP(L326,radky_R!$A:$B,2,0)))</f>
        <v>není alternativa</v>
      </c>
      <c r="S326" s="189" t="s">
        <v>261</v>
      </c>
      <c r="T326" s="189" t="s">
        <v>634</v>
      </c>
    </row>
    <row r="327" spans="1:20" x14ac:dyDescent="0.2">
      <c r="A327" s="196">
        <v>661</v>
      </c>
      <c r="B327" s="189" t="s">
        <v>210</v>
      </c>
      <c r="C327" s="189" t="s">
        <v>510</v>
      </c>
      <c r="D327" s="503" t="s">
        <v>319</v>
      </c>
      <c r="E327" s="508"/>
      <c r="F327" s="504" t="s">
        <v>280</v>
      </c>
      <c r="G327" s="504" t="s">
        <v>241</v>
      </c>
      <c r="H327" s="504"/>
      <c r="I327" s="504"/>
      <c r="J327" s="504"/>
      <c r="K327" s="179" t="str">
        <f>IF(ISBLANK(E327),"ručně doplnit",IF(E327="-","není ve výkazech",IF(C327="Rozvaha",VLOOKUP(E327,radky_R!$A:$B,2,0),IF(C327="Výsledovka",VLOOKUP(E327,radky_V!A:M,2,0)))))</f>
        <v>ručně doplnit</v>
      </c>
      <c r="R327" s="179" t="str">
        <f>IF(ISBLANK(L327),"není alternativa",IF(L327="-","není ve výkazech",VLOOKUP(L327,radky_R!$A:$B,2,0)))</f>
        <v>není alternativa</v>
      </c>
      <c r="S327" s="189" t="s">
        <v>261</v>
      </c>
      <c r="T327" s="189" t="s">
        <v>634</v>
      </c>
    </row>
    <row r="328" spans="1:20" x14ac:dyDescent="0.2">
      <c r="A328" s="196">
        <v>661</v>
      </c>
      <c r="B328" s="189" t="s">
        <v>210</v>
      </c>
      <c r="C328" s="189" t="s">
        <v>510</v>
      </c>
      <c r="D328" s="503" t="s">
        <v>319</v>
      </c>
      <c r="E328" s="508"/>
      <c r="F328" s="504" t="s">
        <v>324</v>
      </c>
      <c r="G328" s="504"/>
      <c r="H328" s="504"/>
      <c r="I328" s="504"/>
      <c r="J328" s="504"/>
      <c r="K328" s="179" t="str">
        <f>IF(ISBLANK(E328),"ručně doplnit",IF(E328="-","není ve výkazech",IF(C328="Rozvaha",VLOOKUP(E328,radky_R!$A:$B,2,0),IF(C328="Výsledovka",VLOOKUP(E328,radky_V!A:M,2,0)))))</f>
        <v>ručně doplnit</v>
      </c>
      <c r="R328" s="179" t="str">
        <f>IF(ISBLANK(L328),"není alternativa",IF(L328="-","není ve výkazech",VLOOKUP(L328,radky_R!$A:$B,2,0)))</f>
        <v>není alternativa</v>
      </c>
      <c r="S328" s="189" t="s">
        <v>261</v>
      </c>
      <c r="T328" s="189" t="s">
        <v>634</v>
      </c>
    </row>
    <row r="329" spans="1:20" x14ac:dyDescent="0.2">
      <c r="A329" s="196">
        <v>662</v>
      </c>
      <c r="B329" s="189" t="s">
        <v>180</v>
      </c>
      <c r="C329" s="189" t="s">
        <v>510</v>
      </c>
      <c r="D329" s="503" t="s">
        <v>319</v>
      </c>
      <c r="E329" s="508">
        <v>41</v>
      </c>
      <c r="F329" s="504" t="s">
        <v>322</v>
      </c>
      <c r="G329" s="504" t="s">
        <v>241</v>
      </c>
      <c r="H329" s="504"/>
      <c r="I329" s="504"/>
      <c r="J329" s="504"/>
      <c r="K329" s="179" t="str">
        <f>IF(ISBLANK(E329),"ručně doplnit",IF(E329="-","není ve výkazech",IF(C329="Rozvaha",VLOOKUP(E329,radky_R!$A:$B,2,0),IF(C329="Výsledovka",VLOOKUP(E329,radky_V!A:M,2,0)))))</f>
        <v>Ostatní výnosové úroky a podobné výnosy</v>
      </c>
      <c r="R329" s="179" t="str">
        <f>IF(ISBLANK(L329),"není alternativa",IF(L329="-","není ve výkazech",VLOOKUP(L329,radky_R!$A:$B,2,0)))</f>
        <v>není alternativa</v>
      </c>
      <c r="S329" s="189" t="s">
        <v>261</v>
      </c>
      <c r="T329" s="189" t="s">
        <v>634</v>
      </c>
    </row>
    <row r="330" spans="1:20" x14ac:dyDescent="0.2">
      <c r="A330" s="196">
        <v>662</v>
      </c>
      <c r="B330" s="189" t="s">
        <v>180</v>
      </c>
      <c r="C330" s="189" t="s">
        <v>510</v>
      </c>
      <c r="D330" s="503" t="s">
        <v>319</v>
      </c>
      <c r="E330" s="508">
        <v>40</v>
      </c>
      <c r="F330" s="504" t="s">
        <v>322</v>
      </c>
      <c r="G330" s="504" t="s">
        <v>240</v>
      </c>
      <c r="H330" s="504"/>
      <c r="I330" s="504"/>
      <c r="J330" s="504"/>
      <c r="K330" s="179" t="str">
        <f>IF(ISBLANK(E330),"ručně doplnit",IF(E330="-","není ve výkazech",IF(C330="Rozvaha",VLOOKUP(E330,radky_R!$A:$B,2,0),IF(C330="Výsledovka",VLOOKUP(E330,radky_V!A:M,2,0)))))</f>
        <v>Výnosové úroky a podobné výnosy - ovládaná nebo ovládající osoba</v>
      </c>
      <c r="R330" s="179" t="str">
        <f>IF(ISBLANK(L330),"není alternativa",IF(L330="-","není ve výkazech",VLOOKUP(L330,radky_R!$A:$B,2,0)))</f>
        <v>není alternativa</v>
      </c>
      <c r="S330" s="189" t="s">
        <v>261</v>
      </c>
      <c r="T330" s="189" t="s">
        <v>634</v>
      </c>
    </row>
    <row r="331" spans="1:20" x14ac:dyDescent="0.2">
      <c r="A331" s="196">
        <v>663</v>
      </c>
      <c r="B331" s="189" t="s">
        <v>211</v>
      </c>
      <c r="C331" s="189" t="s">
        <v>510</v>
      </c>
      <c r="D331" s="503" t="s">
        <v>319</v>
      </c>
      <c r="E331" s="508">
        <v>46</v>
      </c>
      <c r="F331" s="504" t="s">
        <v>324</v>
      </c>
      <c r="G331" s="504"/>
      <c r="H331" s="504"/>
      <c r="I331" s="504"/>
      <c r="J331" s="504"/>
      <c r="K331" s="179" t="str">
        <f>IF(ISBLANK(E331),"ručně doplnit",IF(E331="-","není ve výkazech",IF(C331="Rozvaha",VLOOKUP(E331,radky_R!$A:$B,2,0),IF(C331="Výsledovka",VLOOKUP(E331,radky_V!A:M,2,0)))))</f>
        <v>Ostatní finanční výnosy</v>
      </c>
      <c r="R331" s="179" t="str">
        <f>IF(ISBLANK(L331),"není alternativa",IF(L331="-","není ve výkazech",VLOOKUP(L331,radky_R!$A:$B,2,0)))</f>
        <v>není alternativa</v>
      </c>
      <c r="S331" s="189" t="s">
        <v>261</v>
      </c>
      <c r="T331" s="189" t="s">
        <v>634</v>
      </c>
    </row>
    <row r="332" spans="1:20" x14ac:dyDescent="0.2">
      <c r="A332" s="196">
        <v>664</v>
      </c>
      <c r="B332" s="189" t="s">
        <v>212</v>
      </c>
      <c r="C332" s="189" t="s">
        <v>510</v>
      </c>
      <c r="D332" s="503" t="s">
        <v>319</v>
      </c>
      <c r="E332" s="508">
        <v>46</v>
      </c>
      <c r="F332" s="504" t="s">
        <v>324</v>
      </c>
      <c r="G332" s="504"/>
      <c r="H332" s="504"/>
      <c r="I332" s="504"/>
      <c r="J332" s="504"/>
      <c r="K332" s="179" t="str">
        <f>IF(ISBLANK(E332),"ručně doplnit",IF(E332="-","není ve výkazech",IF(C332="Rozvaha",VLOOKUP(E332,radky_R!$A:$B,2,0),IF(C332="Výsledovka",VLOOKUP(E332,radky_V!A:M,2,0)))))</f>
        <v>Ostatní finanční výnosy</v>
      </c>
      <c r="R332" s="179" t="str">
        <f>IF(ISBLANK(L332),"není alternativa",IF(L332="-","není ve výkazech",VLOOKUP(L332,radky_R!$A:$B,2,0)))</f>
        <v>není alternativa</v>
      </c>
      <c r="S332" s="189" t="s">
        <v>261</v>
      </c>
      <c r="T332" s="189" t="s">
        <v>634</v>
      </c>
    </row>
    <row r="333" spans="1:20" x14ac:dyDescent="0.2">
      <c r="A333" s="196">
        <v>665</v>
      </c>
      <c r="B333" s="189" t="s">
        <v>213</v>
      </c>
      <c r="C333" s="189" t="s">
        <v>510</v>
      </c>
      <c r="D333" s="503" t="s">
        <v>319</v>
      </c>
      <c r="E333" s="196"/>
      <c r="F333" s="503" t="s">
        <v>272</v>
      </c>
      <c r="G333" s="503" t="s">
        <v>240</v>
      </c>
      <c r="K333" s="179" t="str">
        <f>IF(ISBLANK(E333),"ručně doplnit",IF(E333="-","není ve výkazech",IF(C333="Rozvaha",VLOOKUP(E333,radky_R!$A:$B,2,0),IF(C333="Výsledovka",VLOOKUP(E333,radky_V!A:M,2,0)))))</f>
        <v>ručně doplnit</v>
      </c>
      <c r="R333" s="179" t="str">
        <f>IF(ISBLANK(L333),"není alternativa",IF(L333="-","není ve výkazech",VLOOKUP(L333,radky_R!$A:$B,2,0)))</f>
        <v>není alternativa</v>
      </c>
      <c r="S333" s="189" t="s">
        <v>261</v>
      </c>
      <c r="T333" s="189" t="s">
        <v>634</v>
      </c>
    </row>
    <row r="334" spans="1:20" x14ac:dyDescent="0.2">
      <c r="A334" s="196">
        <v>665</v>
      </c>
      <c r="B334" s="189" t="s">
        <v>213</v>
      </c>
      <c r="C334" s="189" t="s">
        <v>510</v>
      </c>
      <c r="D334" s="503" t="s">
        <v>319</v>
      </c>
      <c r="E334" s="196"/>
      <c r="F334" s="503" t="s">
        <v>272</v>
      </c>
      <c r="G334" s="503" t="s">
        <v>241</v>
      </c>
      <c r="K334" s="179" t="str">
        <f>IF(ISBLANK(E334),"ručně doplnit",IF(E334="-","není ve výkazech",IF(C334="Rozvaha",VLOOKUP(E334,radky_R!$A:$B,2,0),IF(C334="Výsledovka",VLOOKUP(E334,radky_V!A:M,2,0)))))</f>
        <v>ručně doplnit</v>
      </c>
      <c r="R334" s="179" t="str">
        <f>IF(ISBLANK(L334),"není alternativa",IF(L334="-","není ve výkazech",VLOOKUP(L334,radky_R!$A:$B,2,0)))</f>
        <v>není alternativa</v>
      </c>
      <c r="S334" s="189" t="s">
        <v>261</v>
      </c>
      <c r="T334" s="189" t="s">
        <v>634</v>
      </c>
    </row>
    <row r="335" spans="1:20" x14ac:dyDescent="0.2">
      <c r="A335" s="196">
        <v>665</v>
      </c>
      <c r="B335" s="189" t="s">
        <v>213</v>
      </c>
      <c r="C335" s="189" t="s">
        <v>510</v>
      </c>
      <c r="D335" s="503" t="s">
        <v>319</v>
      </c>
      <c r="E335" s="196"/>
      <c r="F335" s="503" t="s">
        <v>280</v>
      </c>
      <c r="G335" s="503" t="s">
        <v>240</v>
      </c>
      <c r="K335" s="179" t="str">
        <f>IF(ISBLANK(E335),"ručně doplnit",IF(E335="-","není ve výkazech",IF(C335="Rozvaha",VLOOKUP(E335,radky_R!$A:$B,2,0),IF(C335="Výsledovka",VLOOKUP(E335,radky_V!A:M,2,0)))))</f>
        <v>ručně doplnit</v>
      </c>
      <c r="R335" s="179" t="str">
        <f>IF(ISBLANK(L335),"není alternativa",IF(L335="-","není ve výkazech",VLOOKUP(L335,radky_R!$A:$B,2,0)))</f>
        <v>není alternativa</v>
      </c>
      <c r="S335" s="189" t="s">
        <v>261</v>
      </c>
      <c r="T335" s="189" t="s">
        <v>634</v>
      </c>
    </row>
    <row r="336" spans="1:20" x14ac:dyDescent="0.2">
      <c r="A336" s="196">
        <v>665</v>
      </c>
      <c r="B336" s="189" t="s">
        <v>213</v>
      </c>
      <c r="C336" s="189" t="s">
        <v>510</v>
      </c>
      <c r="D336" s="503" t="s">
        <v>319</v>
      </c>
      <c r="E336" s="196"/>
      <c r="F336" s="503" t="s">
        <v>280</v>
      </c>
      <c r="G336" s="503" t="s">
        <v>241</v>
      </c>
      <c r="K336" s="179" t="str">
        <f>IF(ISBLANK(E336),"ručně doplnit",IF(E336="-","není ve výkazech",IF(C336="Rozvaha",VLOOKUP(E336,radky_R!$A:$B,2,0),IF(C336="Výsledovka",VLOOKUP(E336,radky_V!A:M,2,0)))))</f>
        <v>ručně doplnit</v>
      </c>
      <c r="R336" s="179" t="str">
        <f>IF(ISBLANK(L336),"není alternativa",IF(L336="-","není ve výkazech",VLOOKUP(L336,radky_R!$A:$B,2,0)))</f>
        <v>není alternativa</v>
      </c>
      <c r="S336" s="189" t="s">
        <v>261</v>
      </c>
      <c r="T336" s="189" t="s">
        <v>634</v>
      </c>
    </row>
    <row r="337" spans="1:20" x14ac:dyDescent="0.2">
      <c r="A337" s="196">
        <v>665</v>
      </c>
      <c r="B337" s="189" t="s">
        <v>213</v>
      </c>
      <c r="C337" s="189" t="s">
        <v>510</v>
      </c>
      <c r="D337" s="503" t="s">
        <v>319</v>
      </c>
      <c r="E337" s="196"/>
      <c r="F337" s="503" t="s">
        <v>322</v>
      </c>
      <c r="G337" s="503" t="s">
        <v>240</v>
      </c>
      <c r="K337" s="179" t="str">
        <f>IF(ISBLANK(E337),"ručně doplnit",IF(E337="-","není ve výkazech",IF(C337="Rozvaha",VLOOKUP(E337,radky_R!$A:$B,2,0),IF(C337="Výsledovka",VLOOKUP(E337,radky_V!A:M,2,0)))))</f>
        <v>ručně doplnit</v>
      </c>
      <c r="R337" s="179" t="str">
        <f>IF(ISBLANK(L337),"není alternativa",IF(L337="-","není ve výkazech",VLOOKUP(L337,radky_R!$A:$B,2,0)))</f>
        <v>není alternativa</v>
      </c>
      <c r="S337" s="189" t="s">
        <v>261</v>
      </c>
      <c r="T337" s="189" t="s">
        <v>634</v>
      </c>
    </row>
    <row r="338" spans="1:20" x14ac:dyDescent="0.2">
      <c r="A338" s="196">
        <v>665</v>
      </c>
      <c r="B338" s="189" t="s">
        <v>213</v>
      </c>
      <c r="C338" s="189" t="s">
        <v>510</v>
      </c>
      <c r="D338" s="503" t="s">
        <v>319</v>
      </c>
      <c r="E338" s="196"/>
      <c r="F338" s="503" t="s">
        <v>322</v>
      </c>
      <c r="G338" s="503" t="s">
        <v>241</v>
      </c>
      <c r="K338" s="179" t="str">
        <f>IF(ISBLANK(E338),"ručně doplnit",IF(E338="-","není ve výkazech",IF(C338="Rozvaha",VLOOKUP(E338,radky_R!$A:$B,2,0),IF(C338="Výsledovka",VLOOKUP(E338,radky_V!A:M,2,0)))))</f>
        <v>ručně doplnit</v>
      </c>
      <c r="R338" s="179" t="str">
        <f>IF(ISBLANK(L338),"není alternativa",IF(L338="-","není ve výkazech",VLOOKUP(L338,radky_R!$A:$B,2,0)))</f>
        <v>není alternativa</v>
      </c>
      <c r="S338" s="189" t="s">
        <v>261</v>
      </c>
      <c r="T338" s="189" t="s">
        <v>634</v>
      </c>
    </row>
    <row r="339" spans="1:20" x14ac:dyDescent="0.2">
      <c r="A339" s="196">
        <v>666</v>
      </c>
      <c r="B339" s="189" t="s">
        <v>214</v>
      </c>
      <c r="C339" s="189" t="s">
        <v>510</v>
      </c>
      <c r="D339" s="503" t="s">
        <v>319</v>
      </c>
      <c r="E339" s="508">
        <v>46</v>
      </c>
      <c r="F339" s="504" t="s">
        <v>324</v>
      </c>
      <c r="G339" s="504"/>
      <c r="H339" s="504"/>
      <c r="I339" s="504"/>
      <c r="J339" s="504"/>
      <c r="K339" s="179" t="str">
        <f>IF(ISBLANK(E339),"ručně doplnit",IF(E339="-","není ve výkazech",IF(C339="Rozvaha",VLOOKUP(E339,radky_R!$A:$B,2,0),IF(C339="Výsledovka",VLOOKUP(E339,radky_V!A:M,2,0)))))</f>
        <v>Ostatní finanční výnosy</v>
      </c>
      <c r="R339" s="179" t="str">
        <f>IF(ISBLANK(L339),"není alternativa",IF(L339="-","není ve výkazech",VLOOKUP(L339,radky_R!$A:$B,2,0)))</f>
        <v>není alternativa</v>
      </c>
      <c r="S339" s="189" t="s">
        <v>261</v>
      </c>
      <c r="T339" s="189" t="s">
        <v>634</v>
      </c>
    </row>
    <row r="340" spans="1:20" x14ac:dyDescent="0.2">
      <c r="A340" s="196">
        <v>667</v>
      </c>
      <c r="B340" s="189" t="s">
        <v>215</v>
      </c>
      <c r="C340" s="189" t="s">
        <v>510</v>
      </c>
      <c r="D340" s="503" t="s">
        <v>319</v>
      </c>
      <c r="E340" s="508">
        <v>46</v>
      </c>
      <c r="F340" s="504" t="s">
        <v>324</v>
      </c>
      <c r="G340" s="504"/>
      <c r="H340" s="504"/>
      <c r="I340" s="504"/>
      <c r="J340" s="504"/>
      <c r="K340" s="179" t="str">
        <f>IF(ISBLANK(E340),"ručně doplnit",IF(E340="-","není ve výkazech",IF(C340="Rozvaha",VLOOKUP(E340,radky_R!$A:$B,2,0),IF(C340="Výsledovka",VLOOKUP(E340,radky_V!A:M,2,0)))))</f>
        <v>Ostatní finanční výnosy</v>
      </c>
      <c r="R340" s="179" t="str">
        <f>IF(ISBLANK(L340),"není alternativa",IF(L340="-","není ve výkazech",VLOOKUP(L340,radky_R!$A:$B,2,0)))</f>
        <v>není alternativa</v>
      </c>
      <c r="S340" s="189" t="s">
        <v>261</v>
      </c>
      <c r="T340" s="189" t="s">
        <v>634</v>
      </c>
    </row>
    <row r="341" spans="1:20" x14ac:dyDescent="0.2">
      <c r="A341" s="196">
        <v>668</v>
      </c>
      <c r="B341" s="189" t="s">
        <v>216</v>
      </c>
      <c r="C341" s="189" t="s">
        <v>510</v>
      </c>
      <c r="D341" s="503" t="s">
        <v>319</v>
      </c>
      <c r="E341" s="508">
        <v>46</v>
      </c>
      <c r="F341" s="504" t="s">
        <v>324</v>
      </c>
      <c r="G341" s="504"/>
      <c r="H341" s="504"/>
      <c r="I341" s="504"/>
      <c r="J341" s="504"/>
      <c r="K341" s="179" t="str">
        <f>IF(ISBLANK(E341),"ručně doplnit",IF(E341="-","není ve výkazech",IF(C341="Rozvaha",VLOOKUP(E341,radky_R!$A:$B,2,0),IF(C341="Výsledovka",VLOOKUP(E341,radky_V!A:M,2,0)))))</f>
        <v>Ostatní finanční výnosy</v>
      </c>
      <c r="R341" s="179" t="str">
        <f>IF(ISBLANK(L341),"není alternativa",IF(L341="-","není ve výkazech",VLOOKUP(L341,radky_R!$A:$B,2,0)))</f>
        <v>není alternativa</v>
      </c>
      <c r="S341" s="189" t="s">
        <v>261</v>
      </c>
      <c r="T341" s="189" t="s">
        <v>634</v>
      </c>
    </row>
    <row r="342" spans="1:20" x14ac:dyDescent="0.2">
      <c r="A342" s="196">
        <v>669</v>
      </c>
      <c r="B342" s="189" t="s">
        <v>805</v>
      </c>
      <c r="C342" s="189" t="s">
        <v>510</v>
      </c>
      <c r="D342" s="503" t="s">
        <v>319</v>
      </c>
      <c r="E342" s="508">
        <v>46</v>
      </c>
      <c r="F342" s="504" t="s">
        <v>324</v>
      </c>
      <c r="G342" s="504"/>
      <c r="H342" s="504"/>
      <c r="I342" s="504"/>
      <c r="J342" s="504"/>
      <c r="K342" s="179" t="str">
        <f>IF(ISBLANK(E342),"ručně doplnit",IF(E342="-","není ve výkazech",IF(C342="Rozvaha",VLOOKUP(E342,radky_R!$A:$B,2,0),IF(C342="Výsledovka",VLOOKUP(E342,radky_V!A:M,2,0)))))</f>
        <v>Ostatní finanční výnosy</v>
      </c>
      <c r="R342" s="179" t="str">
        <f>IF(ISBLANK(L342),"není alternativa",IF(L342="-","není ve výkazech",VLOOKUP(L342,radky_R!$A:$B,2,0)))</f>
        <v>není alternativa</v>
      </c>
      <c r="S342" s="189" t="s">
        <v>261</v>
      </c>
      <c r="T342" s="189" t="s">
        <v>634</v>
      </c>
    </row>
    <row r="343" spans="1:20" x14ac:dyDescent="0.2">
      <c r="A343" s="196">
        <v>688</v>
      </c>
      <c r="C343" s="189" t="s">
        <v>510</v>
      </c>
      <c r="D343" s="503" t="s">
        <v>319</v>
      </c>
      <c r="E343" s="196"/>
      <c r="K343" s="179" t="str">
        <f>IF(ISBLANK(E343),"ručně doplnit",IF(E343="-","není ve výkazech",IF(C343="Rozvaha",VLOOKUP(E343,radky_R!$A:$B,2,0),IF(C343="Výsledovka",VLOOKUP(E343,radky_V!A:M,2,0)))))</f>
        <v>ručně doplnit</v>
      </c>
      <c r="R343" s="179" t="str">
        <f>IF(ISBLANK(L343),"není alternativa",IF(L343="-","není ve výkazech",VLOOKUP(L343,radky_R!$A:$B,2,0)))</f>
        <v>není alternativa</v>
      </c>
      <c r="S343" s="189" t="s">
        <v>261</v>
      </c>
      <c r="T343" s="189" t="s">
        <v>636</v>
      </c>
    </row>
    <row r="344" spans="1:20" x14ac:dyDescent="0.2">
      <c r="A344" s="196">
        <v>697</v>
      </c>
      <c r="B344" s="189" t="s">
        <v>217</v>
      </c>
      <c r="C344" s="189" t="s">
        <v>510</v>
      </c>
      <c r="D344" s="503" t="s">
        <v>319</v>
      </c>
      <c r="E344" s="508">
        <v>23</v>
      </c>
      <c r="F344" s="504" t="s">
        <v>254</v>
      </c>
      <c r="G344" s="504" t="s">
        <v>242</v>
      </c>
      <c r="H344" s="504"/>
      <c r="I344" s="504"/>
      <c r="J344" s="504"/>
      <c r="K344" s="179" t="str">
        <f>IF(ISBLANK(E344),"ručně doplnit",IF(E344="-","není ve výkazech",IF(C344="Rozvaha",VLOOKUP(E344,radky_R!$A:$B,2,0),IF(C344="Výsledovka",VLOOKUP(E344,radky_V!A:M,2,0)))))</f>
        <v>Jiné provozní výnosy</v>
      </c>
      <c r="R344" s="179" t="str">
        <f>IF(ISBLANK(L344),"není alternativa",IF(L344="-","není ve výkazech",VLOOKUP(L344,radky_R!$A:$B,2,0)))</f>
        <v>není alternativa</v>
      </c>
      <c r="S344" s="189" t="s">
        <v>261</v>
      </c>
      <c r="T344" s="189" t="s">
        <v>634</v>
      </c>
    </row>
    <row r="345" spans="1:20" x14ac:dyDescent="0.2">
      <c r="A345" s="196">
        <v>698</v>
      </c>
      <c r="B345" s="189" t="s">
        <v>218</v>
      </c>
      <c r="C345" s="189" t="s">
        <v>510</v>
      </c>
      <c r="D345" s="503" t="s">
        <v>319</v>
      </c>
      <c r="E345" s="508">
        <v>46</v>
      </c>
      <c r="F345" s="504" t="s">
        <v>324</v>
      </c>
      <c r="G345" s="504"/>
      <c r="H345" s="504"/>
      <c r="I345" s="504"/>
      <c r="J345" s="504"/>
      <c r="K345" s="179" t="str">
        <f>IF(ISBLANK(E345),"ručně doplnit",IF(E345="-","není ve výkazech",IF(C345="Rozvaha",VLOOKUP(E345,radky_R!$A:$B,2,0),IF(C345="Výsledovka",VLOOKUP(E345,radky_V!A:M,2,0)))))</f>
        <v>Ostatní finanční výnosy</v>
      </c>
      <c r="R345" s="179" t="str">
        <f>IF(ISBLANK(L345),"není alternativa",IF(L345="-","není ve výkazech",VLOOKUP(L345,radky_R!$A:$B,2,0)))</f>
        <v>není alternativa</v>
      </c>
      <c r="S345" s="189" t="s">
        <v>261</v>
      </c>
      <c r="T345" s="189" t="s">
        <v>634</v>
      </c>
    </row>
    <row r="346" spans="1:20" x14ac:dyDescent="0.2">
      <c r="A346" s="196">
        <v>701</v>
      </c>
      <c r="B346" s="189" t="s">
        <v>219</v>
      </c>
      <c r="D346" s="503" t="s">
        <v>320</v>
      </c>
      <c r="E346" s="196"/>
      <c r="K346" s="179" t="str">
        <f>IF(ISBLANK(E346),"ručně doplnit",IF(E346="-","není ve výkazech",IF(C346="Rozvaha",VLOOKUP(E346,radky_R!$A:$B,2,0),IF(C346="Výsledovka",VLOOKUP(E346,radky_V!A:M,2,0)))))</f>
        <v>ručně doplnit</v>
      </c>
      <c r="R346" s="179" t="str">
        <f>IF(ISBLANK(L346),"není alternativa",IF(L346="-","není ve výkazech",VLOOKUP(L346,radky_R!$A:$B,2,0)))</f>
        <v>není alternativa</v>
      </c>
      <c r="S346" s="189" t="s">
        <v>261</v>
      </c>
      <c r="T346" s="189" t="s">
        <v>634</v>
      </c>
    </row>
    <row r="347" spans="1:20" x14ac:dyDescent="0.2">
      <c r="A347" s="196">
        <v>702</v>
      </c>
      <c r="B347" s="189" t="s">
        <v>220</v>
      </c>
      <c r="D347" s="503" t="s">
        <v>320</v>
      </c>
      <c r="E347" s="196"/>
      <c r="K347" s="179" t="str">
        <f>IF(ISBLANK(E347),"ručně doplnit",IF(E347="-","není ve výkazech",IF(C347="Rozvaha",VLOOKUP(E347,radky_R!$A:$B,2,0),IF(C347="Výsledovka",VLOOKUP(E347,radky_V!A:M,2,0)))))</f>
        <v>ručně doplnit</v>
      </c>
      <c r="R347" s="179" t="str">
        <f>IF(ISBLANK(L347),"není alternativa",IF(L347="-","není ve výkazech",VLOOKUP(L347,radky_R!$A:$B,2,0)))</f>
        <v>není alternativa</v>
      </c>
      <c r="S347" s="189" t="s">
        <v>261</v>
      </c>
      <c r="T347" s="189" t="s">
        <v>634</v>
      </c>
    </row>
    <row r="348" spans="1:20" x14ac:dyDescent="0.2">
      <c r="A348" s="196">
        <v>710</v>
      </c>
      <c r="B348" s="189" t="s">
        <v>221</v>
      </c>
      <c r="D348" s="503" t="s">
        <v>320</v>
      </c>
      <c r="E348" s="196"/>
      <c r="K348" s="179" t="str">
        <f>IF(ISBLANK(E348),"ručně doplnit",IF(E348="-","není ve výkazech",IF(C348="Rozvaha",VLOOKUP(E348,radky_R!$A:$B,2,0),IF(C348="Výsledovka",VLOOKUP(E348,radky_V!A:M,2,0)))))</f>
        <v>ručně doplnit</v>
      </c>
      <c r="R348" s="179" t="str">
        <f>IF(ISBLANK(L348),"není alternativa",IF(L348="-","není ve výkazech",VLOOKUP(L348,radky_R!$A:$B,2,0)))</f>
        <v>není alternativa</v>
      </c>
      <c r="S348" s="189" t="s">
        <v>261</v>
      </c>
      <c r="T348" s="189" t="s">
        <v>634</v>
      </c>
    </row>
  </sheetData>
  <phoneticPr fontId="0" type="noConversion"/>
  <conditionalFormatting sqref="E264 E1:E39 E47:E48 E51 E53 E58:E60 E63 E75 E77:E78 E80:E85 E87 E89 E98 E105:E107 E109 E113:E114 E126:E128 E133:E136 E163:E202 E283 E288:E295 E297:E301 E304 E307:E309 E343:E1048576 E331:E338 E318:E320 E205:E210 E213:E222 E225:E226 E228:E234">
    <cfRule type="expression" dxfId="247" priority="319">
      <formula>C2="R"</formula>
    </cfRule>
    <cfRule type="expression" dxfId="246" priority="320">
      <formula>C2="V"</formula>
    </cfRule>
  </conditionalFormatting>
  <conditionalFormatting sqref="E56">
    <cfRule type="expression" dxfId="245" priority="247">
      <formula>C57="R"</formula>
    </cfRule>
    <cfRule type="expression" dxfId="244" priority="248">
      <formula>C57="V"</formula>
    </cfRule>
  </conditionalFormatting>
  <conditionalFormatting sqref="E243">
    <cfRule type="expression" dxfId="243" priority="309">
      <formula>C244="R"</formula>
    </cfRule>
    <cfRule type="expression" dxfId="242" priority="310">
      <formula>C244="V"</formula>
    </cfRule>
  </conditionalFormatting>
  <conditionalFormatting sqref="E54">
    <cfRule type="expression" dxfId="241" priority="251">
      <formula>C55="R"</formula>
    </cfRule>
    <cfRule type="expression" dxfId="240" priority="252">
      <formula>C55="V"</formula>
    </cfRule>
  </conditionalFormatting>
  <conditionalFormatting sqref="E243">
    <cfRule type="expression" dxfId="239" priority="301">
      <formula>C244="R"</formula>
    </cfRule>
    <cfRule type="expression" dxfId="238" priority="302">
      <formula>C244="V"</formula>
    </cfRule>
  </conditionalFormatting>
  <conditionalFormatting sqref="E50">
    <cfRule type="expression" dxfId="237" priority="255">
      <formula>C51="R"</formula>
    </cfRule>
    <cfRule type="expression" dxfId="236" priority="256">
      <formula>C51="V"</formula>
    </cfRule>
  </conditionalFormatting>
  <conditionalFormatting sqref="E49">
    <cfRule type="expression" dxfId="235" priority="257">
      <formula>C50="R"</formula>
    </cfRule>
    <cfRule type="expression" dxfId="234" priority="258">
      <formula>C50="V"</formula>
    </cfRule>
  </conditionalFormatting>
  <conditionalFormatting sqref="E252">
    <cfRule type="expression" dxfId="233" priority="291">
      <formula>C253="R"</formula>
    </cfRule>
    <cfRule type="expression" dxfId="232" priority="292">
      <formula>C253="V"</formula>
    </cfRule>
  </conditionalFormatting>
  <conditionalFormatting sqref="E270:E272">
    <cfRule type="expression" dxfId="231" priority="327">
      <formula>#REF!="R"</formula>
    </cfRule>
    <cfRule type="expression" dxfId="230" priority="328">
      <formula>#REF!="V"</formula>
    </cfRule>
  </conditionalFormatting>
  <conditionalFormatting sqref="E40">
    <cfRule type="expression" dxfId="229" priority="261">
      <formula>C41="R"</formula>
    </cfRule>
    <cfRule type="expression" dxfId="228" priority="262">
      <formula>C41="V"</formula>
    </cfRule>
  </conditionalFormatting>
  <conditionalFormatting sqref="E269">
    <cfRule type="expression" dxfId="227" priority="275">
      <formula>C270="R"</formula>
    </cfRule>
    <cfRule type="expression" dxfId="226" priority="276">
      <formula>C270="V"</formula>
    </cfRule>
  </conditionalFormatting>
  <conditionalFormatting sqref="E52">
    <cfRule type="expression" dxfId="225" priority="253">
      <formula>C53="R"</formula>
    </cfRule>
    <cfRule type="expression" dxfId="224" priority="254">
      <formula>C53="V"</formula>
    </cfRule>
  </conditionalFormatting>
  <conditionalFormatting sqref="E203:E204 E96 E101 E111 E122:E125 E145:E148 E151:E152 E155:E160 E276:E279 E281:E282 E329:E330">
    <cfRule type="expression" dxfId="223" priority="269">
      <formula>C98="R"</formula>
    </cfRule>
    <cfRule type="expression" dxfId="222" priority="270">
      <formula>C98="V"</formula>
    </cfRule>
  </conditionalFormatting>
  <conditionalFormatting sqref="L203:L204">
    <cfRule type="expression" dxfId="221" priority="267">
      <formula>H205="R"</formula>
    </cfRule>
    <cfRule type="expression" dxfId="220" priority="268">
      <formula>H205="V"</formula>
    </cfRule>
  </conditionalFormatting>
  <conditionalFormatting sqref="E41:E46">
    <cfRule type="expression" dxfId="219" priority="259">
      <formula>C47="R"</formula>
    </cfRule>
    <cfRule type="expression" dxfId="218" priority="260">
      <formula>C47="V"</formula>
    </cfRule>
  </conditionalFormatting>
  <conditionalFormatting sqref="E64">
    <cfRule type="expression" dxfId="217" priority="239">
      <formula>C65="R"</formula>
    </cfRule>
    <cfRule type="expression" dxfId="216" priority="240">
      <formula>C65="V"</formula>
    </cfRule>
  </conditionalFormatting>
  <conditionalFormatting sqref="E65">
    <cfRule type="expression" dxfId="215" priority="237">
      <formula>C66="R"</formula>
    </cfRule>
    <cfRule type="expression" dxfId="214" priority="238">
      <formula>C66="V"</formula>
    </cfRule>
  </conditionalFormatting>
  <conditionalFormatting sqref="E55">
    <cfRule type="expression" dxfId="213" priority="249">
      <formula>C56="R"</formula>
    </cfRule>
    <cfRule type="expression" dxfId="212" priority="250">
      <formula>C56="V"</formula>
    </cfRule>
  </conditionalFormatting>
  <conditionalFormatting sqref="E79">
    <cfRule type="expression" dxfId="211" priority="213">
      <formula>C80="R"</formula>
    </cfRule>
    <cfRule type="expression" dxfId="210" priority="214">
      <formula>C80="V"</formula>
    </cfRule>
  </conditionalFormatting>
  <conditionalFormatting sqref="E57">
    <cfRule type="expression" dxfId="209" priority="243">
      <formula>C58="R"</formula>
    </cfRule>
    <cfRule type="expression" dxfId="208" priority="244">
      <formula>C58="V"</formula>
    </cfRule>
  </conditionalFormatting>
  <conditionalFormatting sqref="E61:E62">
    <cfRule type="expression" dxfId="207" priority="241">
      <formula>C62="R"</formula>
    </cfRule>
    <cfRule type="expression" dxfId="206" priority="242">
      <formula>C62="V"</formula>
    </cfRule>
  </conditionalFormatting>
  <conditionalFormatting sqref="E66">
    <cfRule type="expression" dxfId="205" priority="235">
      <formula>C67="R"</formula>
    </cfRule>
    <cfRule type="expression" dxfId="204" priority="236">
      <formula>C67="V"</formula>
    </cfRule>
  </conditionalFormatting>
  <conditionalFormatting sqref="E67">
    <cfRule type="expression" dxfId="203" priority="233">
      <formula>C68="R"</formula>
    </cfRule>
    <cfRule type="expression" dxfId="202" priority="234">
      <formula>C68="V"</formula>
    </cfRule>
  </conditionalFormatting>
  <conditionalFormatting sqref="E68">
    <cfRule type="expression" dxfId="201" priority="231">
      <formula>C69="R"</formula>
    </cfRule>
    <cfRule type="expression" dxfId="200" priority="232">
      <formula>C69="V"</formula>
    </cfRule>
  </conditionalFormatting>
  <conditionalFormatting sqref="E69">
    <cfRule type="expression" dxfId="199" priority="229">
      <formula>C70="R"</formula>
    </cfRule>
    <cfRule type="expression" dxfId="198" priority="230">
      <formula>C70="V"</formula>
    </cfRule>
  </conditionalFormatting>
  <conditionalFormatting sqref="E70">
    <cfRule type="expression" dxfId="197" priority="227">
      <formula>C71="R"</formula>
    </cfRule>
    <cfRule type="expression" dxfId="196" priority="228">
      <formula>C71="V"</formula>
    </cfRule>
  </conditionalFormatting>
  <conditionalFormatting sqref="E71">
    <cfRule type="expression" dxfId="195" priority="225">
      <formula>C72="R"</formula>
    </cfRule>
    <cfRule type="expression" dxfId="194" priority="226">
      <formula>C72="V"</formula>
    </cfRule>
  </conditionalFormatting>
  <conditionalFormatting sqref="E72">
    <cfRule type="expression" dxfId="193" priority="223">
      <formula>C73="R"</formula>
    </cfRule>
    <cfRule type="expression" dxfId="192" priority="224">
      <formula>C73="V"</formula>
    </cfRule>
  </conditionalFormatting>
  <conditionalFormatting sqref="E73">
    <cfRule type="expression" dxfId="191" priority="219">
      <formula>C74="R"</formula>
    </cfRule>
    <cfRule type="expression" dxfId="190" priority="220">
      <formula>C74="V"</formula>
    </cfRule>
  </conditionalFormatting>
  <conditionalFormatting sqref="E74">
    <cfRule type="expression" dxfId="189" priority="217">
      <formula>C75="R"</formula>
    </cfRule>
    <cfRule type="expression" dxfId="188" priority="218">
      <formula>C75="V"</formula>
    </cfRule>
  </conditionalFormatting>
  <conditionalFormatting sqref="E76">
    <cfRule type="expression" dxfId="187" priority="215">
      <formula>C77="R"</formula>
    </cfRule>
    <cfRule type="expression" dxfId="186" priority="216">
      <formula>C77="V"</formula>
    </cfRule>
  </conditionalFormatting>
  <conditionalFormatting sqref="E86">
    <cfRule type="expression" dxfId="185" priority="211">
      <formula>C87="R"</formula>
    </cfRule>
    <cfRule type="expression" dxfId="184" priority="212">
      <formula>C87="V"</formula>
    </cfRule>
  </conditionalFormatting>
  <conditionalFormatting sqref="E88">
    <cfRule type="expression" dxfId="183" priority="209">
      <formula>C89="R"</formula>
    </cfRule>
    <cfRule type="expression" dxfId="182" priority="210">
      <formula>C89="V"</formula>
    </cfRule>
  </conditionalFormatting>
  <conditionalFormatting sqref="E90">
    <cfRule type="expression" dxfId="181" priority="207">
      <formula>C92="R"</formula>
    </cfRule>
    <cfRule type="expression" dxfId="180" priority="208">
      <formula>C92="V"</formula>
    </cfRule>
  </conditionalFormatting>
  <conditionalFormatting sqref="E92">
    <cfRule type="expression" dxfId="179" priority="205">
      <formula>C94="R"</formula>
    </cfRule>
    <cfRule type="expression" dxfId="178" priority="206">
      <formula>C94="V"</formula>
    </cfRule>
  </conditionalFormatting>
  <conditionalFormatting sqref="L90:L91">
    <cfRule type="expression" dxfId="177" priority="201">
      <formula>I92="R"</formula>
    </cfRule>
    <cfRule type="expression" dxfId="176" priority="202">
      <formula>I92="V"</formula>
    </cfRule>
  </conditionalFormatting>
  <conditionalFormatting sqref="E94">
    <cfRule type="expression" dxfId="175" priority="199">
      <formula>C96="R"</formula>
    </cfRule>
    <cfRule type="expression" dxfId="174" priority="200">
      <formula>C96="V"</formula>
    </cfRule>
  </conditionalFormatting>
  <conditionalFormatting sqref="L94:L95">
    <cfRule type="expression" dxfId="173" priority="197">
      <formula>I96="R"</formula>
    </cfRule>
    <cfRule type="expression" dxfId="172" priority="198">
      <formula>I96="V"</formula>
    </cfRule>
  </conditionalFormatting>
  <conditionalFormatting sqref="E99">
    <cfRule type="expression" dxfId="171" priority="195">
      <formula>C101="R"</formula>
    </cfRule>
    <cfRule type="expression" dxfId="170" priority="196">
      <formula>C101="V"</formula>
    </cfRule>
  </conditionalFormatting>
  <conditionalFormatting sqref="E95">
    <cfRule type="expression" dxfId="169" priority="193">
      <formula>B97="R"</formula>
    </cfRule>
    <cfRule type="expression" dxfId="168" priority="194">
      <formula>B97="V"</formula>
    </cfRule>
  </conditionalFormatting>
  <conditionalFormatting sqref="E91">
    <cfRule type="expression" dxfId="167" priority="191">
      <formula>B93="R"</formula>
    </cfRule>
    <cfRule type="expression" dxfId="166" priority="192">
      <formula>B93="V"</formula>
    </cfRule>
  </conditionalFormatting>
  <conditionalFormatting sqref="E103">
    <cfRule type="expression" dxfId="165" priority="187">
      <formula>C105="R"</formula>
    </cfRule>
    <cfRule type="expression" dxfId="164" priority="188">
      <formula>C105="V"</formula>
    </cfRule>
  </conditionalFormatting>
  <conditionalFormatting sqref="E108">
    <cfRule type="expression" dxfId="163" priority="185">
      <formula>C109="R"</formula>
    </cfRule>
    <cfRule type="expression" dxfId="162" priority="186">
      <formula>C109="V"</formula>
    </cfRule>
  </conditionalFormatting>
  <conditionalFormatting sqref="E110">
    <cfRule type="expression" dxfId="161" priority="183">
      <formula>C111="R"</formula>
    </cfRule>
    <cfRule type="expression" dxfId="160" priority="184">
      <formula>C111="V"</formula>
    </cfRule>
  </conditionalFormatting>
  <conditionalFormatting sqref="E112">
    <cfRule type="expression" dxfId="159" priority="181">
      <formula>C114="R"</formula>
    </cfRule>
    <cfRule type="expression" dxfId="158" priority="182">
      <formula>C114="V"</formula>
    </cfRule>
  </conditionalFormatting>
  <conditionalFormatting sqref="E115">
    <cfRule type="expression" dxfId="157" priority="179">
      <formula>C116="R"</formula>
    </cfRule>
    <cfRule type="expression" dxfId="156" priority="180">
      <formula>C116="V"</formula>
    </cfRule>
  </conditionalFormatting>
  <conditionalFormatting sqref="E116">
    <cfRule type="expression" dxfId="155" priority="177">
      <formula>C117="R"</formula>
    </cfRule>
    <cfRule type="expression" dxfId="154" priority="178">
      <formula>C117="V"</formula>
    </cfRule>
  </conditionalFormatting>
  <conditionalFormatting sqref="E117">
    <cfRule type="expression" dxfId="153" priority="175">
      <formula>C118="R"</formula>
    </cfRule>
    <cfRule type="expression" dxfId="152" priority="176">
      <formula>C118="V"</formula>
    </cfRule>
  </conditionalFormatting>
  <conditionalFormatting sqref="E129:E130">
    <cfRule type="expression" dxfId="151" priority="173">
      <formula>C130="R"</formula>
    </cfRule>
    <cfRule type="expression" dxfId="150" priority="174">
      <formula>C130="V"</formula>
    </cfRule>
  </conditionalFormatting>
  <conditionalFormatting sqref="E131:E132">
    <cfRule type="expression" dxfId="149" priority="171">
      <formula>C132="R"</formula>
    </cfRule>
    <cfRule type="expression" dxfId="148" priority="172">
      <formula>C132="V"</formula>
    </cfRule>
  </conditionalFormatting>
  <conditionalFormatting sqref="E137:E138">
    <cfRule type="expression" dxfId="147" priority="169">
      <formula>C138="R"</formula>
    </cfRule>
    <cfRule type="expression" dxfId="146" priority="170">
      <formula>C138="V"</formula>
    </cfRule>
  </conditionalFormatting>
  <conditionalFormatting sqref="E139:E140">
    <cfRule type="expression" dxfId="145" priority="167">
      <formula>C140="R"</formula>
    </cfRule>
    <cfRule type="expression" dxfId="144" priority="168">
      <formula>C140="V"</formula>
    </cfRule>
  </conditionalFormatting>
  <conditionalFormatting sqref="E141:E142">
    <cfRule type="expression" dxfId="143" priority="165">
      <formula>C142="R"</formula>
    </cfRule>
    <cfRule type="expression" dxfId="142" priority="166">
      <formula>C142="V"</formula>
    </cfRule>
  </conditionalFormatting>
  <conditionalFormatting sqref="E143:E144">
    <cfRule type="expression" dxfId="141" priority="163">
      <formula>C144="R"</formula>
    </cfRule>
    <cfRule type="expression" dxfId="140" priority="164">
      <formula>C144="V"</formula>
    </cfRule>
  </conditionalFormatting>
  <conditionalFormatting sqref="E149:E150">
    <cfRule type="expression" dxfId="139" priority="329">
      <formula>#REF!="R"</formula>
    </cfRule>
    <cfRule type="expression" dxfId="138" priority="330">
      <formula>#REF!="V"</formula>
    </cfRule>
  </conditionalFormatting>
  <conditionalFormatting sqref="E153:E154">
    <cfRule type="expression" dxfId="137" priority="159">
      <formula>C155="R"</formula>
    </cfRule>
    <cfRule type="expression" dxfId="136" priority="160">
      <formula>C155="V"</formula>
    </cfRule>
  </conditionalFormatting>
  <conditionalFormatting sqref="E161:E162">
    <cfRule type="expression" dxfId="135" priority="151">
      <formula>C163="R"</formula>
    </cfRule>
    <cfRule type="expression" dxfId="134" priority="152">
      <formula>C163="V"</formula>
    </cfRule>
  </conditionalFormatting>
  <conditionalFormatting sqref="E235">
    <cfRule type="expression" dxfId="133" priority="147">
      <formula>C236="R"</formula>
    </cfRule>
    <cfRule type="expression" dxfId="132" priority="148">
      <formula>C236="V"</formula>
    </cfRule>
  </conditionalFormatting>
  <conditionalFormatting sqref="E236">
    <cfRule type="expression" dxfId="131" priority="145">
      <formula>C237="R"</formula>
    </cfRule>
    <cfRule type="expression" dxfId="130" priority="146">
      <formula>C237="V"</formula>
    </cfRule>
  </conditionalFormatting>
  <conditionalFormatting sqref="E237">
    <cfRule type="expression" dxfId="129" priority="143">
      <formula>C238="R"</formula>
    </cfRule>
    <cfRule type="expression" dxfId="128" priority="144">
      <formula>C238="V"</formula>
    </cfRule>
  </conditionalFormatting>
  <conditionalFormatting sqref="E239">
    <cfRule type="expression" dxfId="127" priority="141">
      <formula>C240="R"</formula>
    </cfRule>
    <cfRule type="expression" dxfId="126" priority="142">
      <formula>C240="V"</formula>
    </cfRule>
  </conditionalFormatting>
  <conditionalFormatting sqref="E240">
    <cfRule type="expression" dxfId="125" priority="139">
      <formula>C241="R"</formula>
    </cfRule>
    <cfRule type="expression" dxfId="124" priority="140">
      <formula>C241="V"</formula>
    </cfRule>
  </conditionalFormatting>
  <conditionalFormatting sqref="E241">
    <cfRule type="expression" dxfId="123" priority="137">
      <formula>C242="R"</formula>
    </cfRule>
    <cfRule type="expression" dxfId="122" priority="138">
      <formula>C242="V"</formula>
    </cfRule>
  </conditionalFormatting>
  <conditionalFormatting sqref="E242">
    <cfRule type="expression" dxfId="121" priority="135">
      <formula>C243="R"</formula>
    </cfRule>
    <cfRule type="expression" dxfId="120" priority="136">
      <formula>C243="V"</formula>
    </cfRule>
  </conditionalFormatting>
  <conditionalFormatting sqref="E244">
    <cfRule type="expression" dxfId="119" priority="133">
      <formula>C245="R"</formula>
    </cfRule>
    <cfRule type="expression" dxfId="118" priority="134">
      <formula>C245="V"</formula>
    </cfRule>
  </conditionalFormatting>
  <conditionalFormatting sqref="E244">
    <cfRule type="expression" dxfId="117" priority="131">
      <formula>C245="R"</formula>
    </cfRule>
    <cfRule type="expression" dxfId="116" priority="132">
      <formula>C245="V"</formula>
    </cfRule>
  </conditionalFormatting>
  <conditionalFormatting sqref="E245">
    <cfRule type="expression" dxfId="115" priority="129">
      <formula>C246="R"</formula>
    </cfRule>
    <cfRule type="expression" dxfId="114" priority="130">
      <formula>C246="V"</formula>
    </cfRule>
  </conditionalFormatting>
  <conditionalFormatting sqref="E245">
    <cfRule type="expression" dxfId="113" priority="127">
      <formula>C246="R"</formula>
    </cfRule>
    <cfRule type="expression" dxfId="112" priority="128">
      <formula>C246="V"</formula>
    </cfRule>
  </conditionalFormatting>
  <conditionalFormatting sqref="E246">
    <cfRule type="expression" dxfId="111" priority="125">
      <formula>C247="R"</formula>
    </cfRule>
    <cfRule type="expression" dxfId="110" priority="126">
      <formula>C247="V"</formula>
    </cfRule>
  </conditionalFormatting>
  <conditionalFormatting sqref="E246">
    <cfRule type="expression" dxfId="109" priority="123">
      <formula>C247="R"</formula>
    </cfRule>
    <cfRule type="expression" dxfId="108" priority="124">
      <formula>C247="V"</formula>
    </cfRule>
  </conditionalFormatting>
  <conditionalFormatting sqref="E247">
    <cfRule type="expression" dxfId="107" priority="121">
      <formula>C248="R"</formula>
    </cfRule>
    <cfRule type="expression" dxfId="106" priority="122">
      <formula>C248="V"</formula>
    </cfRule>
  </conditionalFormatting>
  <conditionalFormatting sqref="E247">
    <cfRule type="expression" dxfId="105" priority="119">
      <formula>C248="R"</formula>
    </cfRule>
    <cfRule type="expression" dxfId="104" priority="120">
      <formula>C248="V"</formula>
    </cfRule>
  </conditionalFormatting>
  <conditionalFormatting sqref="E248">
    <cfRule type="expression" dxfId="103" priority="117">
      <formula>C249="R"</formula>
    </cfRule>
    <cfRule type="expression" dxfId="102" priority="118">
      <formula>C249="V"</formula>
    </cfRule>
  </conditionalFormatting>
  <conditionalFormatting sqref="E248">
    <cfRule type="expression" dxfId="101" priority="115">
      <formula>C249="R"</formula>
    </cfRule>
    <cfRule type="expression" dxfId="100" priority="116">
      <formula>C249="V"</formula>
    </cfRule>
  </conditionalFormatting>
  <conditionalFormatting sqref="E249">
    <cfRule type="expression" dxfId="99" priority="113">
      <formula>C250="R"</formula>
    </cfRule>
    <cfRule type="expression" dxfId="98" priority="114">
      <formula>C250="V"</formula>
    </cfRule>
  </conditionalFormatting>
  <conditionalFormatting sqref="E249">
    <cfRule type="expression" dxfId="97" priority="111">
      <formula>C250="R"</formula>
    </cfRule>
    <cfRule type="expression" dxfId="96" priority="112">
      <formula>C250="V"</formula>
    </cfRule>
  </conditionalFormatting>
  <conditionalFormatting sqref="E250">
    <cfRule type="expression" dxfId="95" priority="109">
      <formula>C251="R"</formula>
    </cfRule>
    <cfRule type="expression" dxfId="94" priority="110">
      <formula>C251="V"</formula>
    </cfRule>
  </conditionalFormatting>
  <conditionalFormatting sqref="E250">
    <cfRule type="expression" dxfId="93" priority="107">
      <formula>C251="R"</formula>
    </cfRule>
    <cfRule type="expression" dxfId="92" priority="108">
      <formula>C251="V"</formula>
    </cfRule>
  </conditionalFormatting>
  <conditionalFormatting sqref="E253">
    <cfRule type="expression" dxfId="91" priority="105">
      <formula>C254="R"</formula>
    </cfRule>
    <cfRule type="expression" dxfId="90" priority="106">
      <formula>C254="V"</formula>
    </cfRule>
  </conditionalFormatting>
  <conditionalFormatting sqref="E254">
    <cfRule type="expression" dxfId="89" priority="103">
      <formula>C255="R"</formula>
    </cfRule>
    <cfRule type="expression" dxfId="88" priority="104">
      <formula>C255="V"</formula>
    </cfRule>
  </conditionalFormatting>
  <conditionalFormatting sqref="E255">
    <cfRule type="expression" dxfId="87" priority="101">
      <formula>C256="R"</formula>
    </cfRule>
    <cfRule type="expression" dxfId="86" priority="102">
      <formula>C256="V"</formula>
    </cfRule>
  </conditionalFormatting>
  <conditionalFormatting sqref="E256">
    <cfRule type="expression" dxfId="85" priority="99">
      <formula>C257="R"</formula>
    </cfRule>
    <cfRule type="expression" dxfId="84" priority="100">
      <formula>C257="V"</formula>
    </cfRule>
  </conditionalFormatting>
  <conditionalFormatting sqref="E257">
    <cfRule type="expression" dxfId="83" priority="97">
      <formula>C258="R"</formula>
    </cfRule>
    <cfRule type="expression" dxfId="82" priority="98">
      <formula>C258="V"</formula>
    </cfRule>
  </conditionalFormatting>
  <conditionalFormatting sqref="E258">
    <cfRule type="expression" dxfId="81" priority="95">
      <formula>C259="R"</formula>
    </cfRule>
    <cfRule type="expression" dxfId="80" priority="96">
      <formula>C259="V"</formula>
    </cfRule>
  </conditionalFormatting>
  <conditionalFormatting sqref="E259">
    <cfRule type="expression" dxfId="79" priority="93">
      <formula>C260="R"</formula>
    </cfRule>
    <cfRule type="expression" dxfId="78" priority="94">
      <formula>C260="V"</formula>
    </cfRule>
  </conditionalFormatting>
  <conditionalFormatting sqref="E260">
    <cfRule type="expression" dxfId="77" priority="91">
      <formula>C262="R"</formula>
    </cfRule>
    <cfRule type="expression" dxfId="76" priority="92">
      <formula>C262="V"</formula>
    </cfRule>
  </conditionalFormatting>
  <conditionalFormatting sqref="E261">
    <cfRule type="expression" dxfId="75" priority="89">
      <formula>C263="R"</formula>
    </cfRule>
    <cfRule type="expression" dxfId="74" priority="90">
      <formula>C263="V"</formula>
    </cfRule>
  </conditionalFormatting>
  <conditionalFormatting sqref="E262">
    <cfRule type="expression" dxfId="73" priority="87">
      <formula>C264="R"</formula>
    </cfRule>
    <cfRule type="expression" dxfId="72" priority="88">
      <formula>C264="V"</formula>
    </cfRule>
  </conditionalFormatting>
  <conditionalFormatting sqref="E263">
    <cfRule type="expression" dxfId="71" priority="85">
      <formula>C265="R"</formula>
    </cfRule>
    <cfRule type="expression" dxfId="70" priority="86">
      <formula>C265="V"</formula>
    </cfRule>
  </conditionalFormatting>
  <conditionalFormatting sqref="E265">
    <cfRule type="expression" dxfId="69" priority="83">
      <formula>C266="R"</formula>
    </cfRule>
    <cfRule type="expression" dxfId="68" priority="84">
      <formula>C266="V"</formula>
    </cfRule>
  </conditionalFormatting>
  <conditionalFormatting sqref="E251">
    <cfRule type="expression" dxfId="67" priority="81">
      <formula>C252="R"</formula>
    </cfRule>
    <cfRule type="expression" dxfId="66" priority="82">
      <formula>C252="V"</formula>
    </cfRule>
  </conditionalFormatting>
  <conditionalFormatting sqref="E238">
    <cfRule type="expression" dxfId="65" priority="79">
      <formula>C239="R"</formula>
    </cfRule>
    <cfRule type="expression" dxfId="64" priority="80">
      <formula>C239="V"</formula>
    </cfRule>
  </conditionalFormatting>
  <conditionalFormatting sqref="E266">
    <cfRule type="expression" dxfId="63" priority="77">
      <formula>C267="R"</formula>
    </cfRule>
    <cfRule type="expression" dxfId="62" priority="78">
      <formula>C267="V"</formula>
    </cfRule>
  </conditionalFormatting>
  <conditionalFormatting sqref="E267">
    <cfRule type="expression" dxfId="61" priority="75">
      <formula>C268="R"</formula>
    </cfRule>
    <cfRule type="expression" dxfId="60" priority="76">
      <formula>C268="V"</formula>
    </cfRule>
  </conditionalFormatting>
  <conditionalFormatting sqref="E268">
    <cfRule type="expression" dxfId="59" priority="73">
      <formula>C269="R"</formula>
    </cfRule>
    <cfRule type="expression" dxfId="58" priority="74">
      <formula>C269="V"</formula>
    </cfRule>
  </conditionalFormatting>
  <conditionalFormatting sqref="E273:E275">
    <cfRule type="expression" dxfId="57" priority="331">
      <formula>C276="R"</formula>
    </cfRule>
    <cfRule type="expression" dxfId="56" priority="332">
      <formula>C276="V"</formula>
    </cfRule>
  </conditionalFormatting>
  <conditionalFormatting sqref="E280">
    <cfRule type="expression" dxfId="55" priority="71">
      <formula>C283="R"</formula>
    </cfRule>
    <cfRule type="expression" dxfId="54" priority="72">
      <formula>C283="V"</formula>
    </cfRule>
  </conditionalFormatting>
  <conditionalFormatting sqref="E284">
    <cfRule type="expression" dxfId="53" priority="69">
      <formula>C285="R"</formula>
    </cfRule>
    <cfRule type="expression" dxfId="52" priority="70">
      <formula>C285="V"</formula>
    </cfRule>
  </conditionalFormatting>
  <conditionalFormatting sqref="E285">
    <cfRule type="expression" dxfId="51" priority="67">
      <formula>C286="R"</formula>
    </cfRule>
    <cfRule type="expression" dxfId="50" priority="68">
      <formula>C286="V"</formula>
    </cfRule>
  </conditionalFormatting>
  <conditionalFormatting sqref="E286">
    <cfRule type="expression" dxfId="49" priority="65">
      <formula>C287="R"</formula>
    </cfRule>
    <cfRule type="expression" dxfId="48" priority="66">
      <formula>C287="V"</formula>
    </cfRule>
  </conditionalFormatting>
  <conditionalFormatting sqref="E287">
    <cfRule type="expression" dxfId="47" priority="63">
      <formula>C288="R"</formula>
    </cfRule>
    <cfRule type="expression" dxfId="46" priority="64">
      <formula>C288="V"</formula>
    </cfRule>
  </conditionalFormatting>
  <conditionalFormatting sqref="E296">
    <cfRule type="expression" dxfId="45" priority="61">
      <formula>C297="R"</formula>
    </cfRule>
    <cfRule type="expression" dxfId="44" priority="62">
      <formula>C297="V"</formula>
    </cfRule>
  </conditionalFormatting>
  <conditionalFormatting sqref="E302">
    <cfRule type="expression" dxfId="43" priority="59">
      <formula>C303="R"</formula>
    </cfRule>
    <cfRule type="expression" dxfId="42" priority="60">
      <formula>C303="V"</formula>
    </cfRule>
  </conditionalFormatting>
  <conditionalFormatting sqref="E303">
    <cfRule type="expression" dxfId="41" priority="57">
      <formula>C304="R"</formula>
    </cfRule>
    <cfRule type="expression" dxfId="40" priority="58">
      <formula>C304="V"</formula>
    </cfRule>
  </conditionalFormatting>
  <conditionalFormatting sqref="E305">
    <cfRule type="expression" dxfId="39" priority="55">
      <formula>C306="R"</formula>
    </cfRule>
    <cfRule type="expression" dxfId="38" priority="56">
      <formula>C306="V"</formula>
    </cfRule>
  </conditionalFormatting>
  <conditionalFormatting sqref="E306">
    <cfRule type="expression" dxfId="37" priority="53">
      <formula>C307="R"</formula>
    </cfRule>
    <cfRule type="expression" dxfId="36" priority="54">
      <formula>C307="V"</formula>
    </cfRule>
  </conditionalFormatting>
  <conditionalFormatting sqref="E321">
    <cfRule type="expression" dxfId="35" priority="51">
      <formula>C322="R"</formula>
    </cfRule>
    <cfRule type="expression" dxfId="34" priority="52">
      <formula>C322="V"</formula>
    </cfRule>
  </conditionalFormatting>
  <conditionalFormatting sqref="E322">
    <cfRule type="expression" dxfId="33" priority="49">
      <formula>C324="R"</formula>
    </cfRule>
    <cfRule type="expression" dxfId="32" priority="50">
      <formula>C324="V"</formula>
    </cfRule>
  </conditionalFormatting>
  <conditionalFormatting sqref="E323">
    <cfRule type="expression" dxfId="31" priority="47">
      <formula>C329="R"</formula>
    </cfRule>
    <cfRule type="expression" dxfId="30" priority="48">
      <formula>C329="V"</formula>
    </cfRule>
  </conditionalFormatting>
  <conditionalFormatting sqref="E324:E328">
    <cfRule type="expression" dxfId="29" priority="333">
      <formula>C329="R"</formula>
    </cfRule>
    <cfRule type="expression" dxfId="28" priority="334">
      <formula>C329="V"</formula>
    </cfRule>
  </conditionalFormatting>
  <conditionalFormatting sqref="E339">
    <cfRule type="expression" dxfId="27" priority="43">
      <formula>C340="R"</formula>
    </cfRule>
    <cfRule type="expression" dxfId="26" priority="44">
      <formula>C340="V"</formula>
    </cfRule>
  </conditionalFormatting>
  <conditionalFormatting sqref="E340">
    <cfRule type="expression" dxfId="25" priority="41">
      <formula>C341="R"</formula>
    </cfRule>
    <cfRule type="expression" dxfId="24" priority="42">
      <formula>C341="V"</formula>
    </cfRule>
  </conditionalFormatting>
  <conditionalFormatting sqref="E341">
    <cfRule type="expression" dxfId="23" priority="39">
      <formula>C342="R"</formula>
    </cfRule>
    <cfRule type="expression" dxfId="22" priority="40">
      <formula>C342="V"</formula>
    </cfRule>
  </conditionalFormatting>
  <conditionalFormatting sqref="E342">
    <cfRule type="expression" dxfId="21" priority="37">
      <formula>C343="R"</formula>
    </cfRule>
    <cfRule type="expression" dxfId="20" priority="38">
      <formula>C343="V"</formula>
    </cfRule>
  </conditionalFormatting>
  <conditionalFormatting sqref="E317">
    <cfRule type="expression" dxfId="19" priority="23">
      <formula>C318="R"</formula>
    </cfRule>
    <cfRule type="expression" dxfId="18" priority="24">
      <formula>C318="V"</formula>
    </cfRule>
  </conditionalFormatting>
  <conditionalFormatting sqref="E310">
    <cfRule type="expression" dxfId="17" priority="33">
      <formula>C311="R"</formula>
    </cfRule>
    <cfRule type="expression" dxfId="16" priority="34">
      <formula>C311="V"</formula>
    </cfRule>
  </conditionalFormatting>
  <conditionalFormatting sqref="E311">
    <cfRule type="expression" dxfId="15" priority="31">
      <formula>C312="R"</formula>
    </cfRule>
    <cfRule type="expression" dxfId="14" priority="32">
      <formula>C312="V"</formula>
    </cfRule>
  </conditionalFormatting>
  <conditionalFormatting sqref="E312">
    <cfRule type="expression" dxfId="13" priority="29">
      <formula>C313="R"</formula>
    </cfRule>
    <cfRule type="expression" dxfId="12" priority="30">
      <formula>C313="V"</formula>
    </cfRule>
  </conditionalFormatting>
  <conditionalFormatting sqref="E313">
    <cfRule type="expression" dxfId="11" priority="27">
      <formula>C314="R"</formula>
    </cfRule>
    <cfRule type="expression" dxfId="10" priority="28">
      <formula>C314="V"</formula>
    </cfRule>
  </conditionalFormatting>
  <conditionalFormatting sqref="E314:E316">
    <cfRule type="expression" dxfId="9" priority="25">
      <formula>C315="R"</formula>
    </cfRule>
    <cfRule type="expression" dxfId="8" priority="26">
      <formula>C315="V"</formula>
    </cfRule>
  </conditionalFormatting>
  <conditionalFormatting sqref="E212">
    <cfRule type="expression" dxfId="7" priority="17">
      <formula>C213="R"</formula>
    </cfRule>
    <cfRule type="expression" dxfId="6" priority="18">
      <formula>C213="V"</formula>
    </cfRule>
  </conditionalFormatting>
  <conditionalFormatting sqref="E211 E224">
    <cfRule type="expression" dxfId="5" priority="335">
      <formula>#REF!="R"</formula>
    </cfRule>
    <cfRule type="expression" dxfId="4" priority="336">
      <formula>#REF!="V"</formula>
    </cfRule>
  </conditionalFormatting>
  <conditionalFormatting sqref="E223">
    <cfRule type="expression" dxfId="3" priority="13">
      <formula>C224="R"</formula>
    </cfRule>
    <cfRule type="expression" dxfId="2" priority="14">
      <formula>C224="V"</formula>
    </cfRule>
  </conditionalFormatting>
  <conditionalFormatting sqref="E227">
    <cfRule type="expression" dxfId="1" priority="7">
      <formula>C228="R"</formula>
    </cfRule>
    <cfRule type="expression" dxfId="0" priority="8">
      <formula>C228="V"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outlinePr summaryBelow="0" summaryRight="0"/>
  </sheetPr>
  <dimension ref="A1:O144"/>
  <sheetViews>
    <sheetView showGridLines="0" workbookViewId="0">
      <pane ySplit="1" topLeftCell="A2" activePane="bottomLeft" state="frozen"/>
      <selection activeCell="B30" sqref="B30"/>
      <selection pane="bottomLeft" activeCell="B30" sqref="B30"/>
    </sheetView>
  </sheetViews>
  <sheetFormatPr defaultRowHeight="11.25" outlineLevelCol="1" x14ac:dyDescent="0.2"/>
  <cols>
    <col min="1" max="1" width="5.28515625" style="195" customWidth="1"/>
    <col min="2" max="2" width="45.140625" style="182" bestFit="1" customWidth="1" collapsed="1"/>
    <col min="3" max="4" width="36.85546875" style="182" hidden="1" customWidth="1" outlineLevel="1"/>
    <col min="5" max="5" width="6.7109375" style="194" bestFit="1" customWidth="1"/>
    <col min="6" max="6" width="5.85546875" style="194" bestFit="1" customWidth="1"/>
    <col min="7" max="7" width="6.5703125" style="183" customWidth="1"/>
    <col min="8" max="9" width="6" style="182" customWidth="1"/>
    <col min="10" max="12" width="6" style="184" customWidth="1"/>
    <col min="13" max="13" width="25.7109375" style="179" customWidth="1"/>
    <col min="14" max="14" width="30.7109375" style="179" customWidth="1"/>
    <col min="15" max="15" width="46.7109375" style="178" bestFit="1" customWidth="1"/>
    <col min="16" max="16384" width="9.140625" style="179"/>
  </cols>
  <sheetData>
    <row r="1" spans="1:15" x14ac:dyDescent="0.2">
      <c r="A1" s="191" t="s">
        <v>256</v>
      </c>
      <c r="B1" s="175" t="s">
        <v>287</v>
      </c>
      <c r="C1" s="175" t="s">
        <v>288</v>
      </c>
      <c r="D1" s="175" t="s">
        <v>289</v>
      </c>
      <c r="E1" s="192" t="s">
        <v>231</v>
      </c>
      <c r="F1" s="192" t="s">
        <v>302</v>
      </c>
      <c r="G1" s="176" t="s">
        <v>263</v>
      </c>
      <c r="H1" s="175" t="s">
        <v>517</v>
      </c>
      <c r="I1" s="175" t="s">
        <v>518</v>
      </c>
      <c r="J1" s="177" t="s">
        <v>520</v>
      </c>
      <c r="K1" s="177" t="s">
        <v>631</v>
      </c>
      <c r="L1" s="177" t="s">
        <v>675</v>
      </c>
      <c r="M1" s="178" t="s">
        <v>519</v>
      </c>
      <c r="N1" s="178" t="s">
        <v>339</v>
      </c>
      <c r="O1" s="178" t="s">
        <v>300</v>
      </c>
    </row>
    <row r="2" spans="1:15" x14ac:dyDescent="0.2">
      <c r="A2" s="193">
        <v>1</v>
      </c>
      <c r="B2" s="182" t="s">
        <v>813</v>
      </c>
      <c r="C2" s="182" t="s">
        <v>814</v>
      </c>
      <c r="D2" s="182" t="s">
        <v>815</v>
      </c>
      <c r="E2" s="194" t="s">
        <v>342</v>
      </c>
      <c r="F2" s="194" t="s">
        <v>514</v>
      </c>
      <c r="M2" s="179" t="str">
        <f>IF(AND(H2=0,I2=0,J2=0),"-",IF(A2=2,CONCATENATE(H2,I2," ",B2),IF(ISBLANK(H1),CONCATENATE(H2,I2," ",B1),M1)))</f>
        <v>-</v>
      </c>
      <c r="N2" s="179" t="str">
        <f t="shared" ref="N2:N42" si="0">IF(ISBLANK(H2),"-",CONCATENATE(TEXT(A2,"000")," ",B2))</f>
        <v>-</v>
      </c>
      <c r="O2" s="178" t="str">
        <f t="shared" ref="O2:O33" si="1">IF(jazyk="česky",B2,IF(jazyk="anglicky",C2,IF(jazyk="německy",D2,"-")))</f>
        <v>AKTIVA CELKEM      (ř. 02 + 03 + 37 + 74)</v>
      </c>
    </row>
    <row r="3" spans="1:15" x14ac:dyDescent="0.2">
      <c r="A3" s="193">
        <v>2</v>
      </c>
      <c r="B3" s="182" t="s">
        <v>89</v>
      </c>
      <c r="C3" s="182" t="s">
        <v>405</v>
      </c>
      <c r="D3" s="182" t="s">
        <v>343</v>
      </c>
      <c r="E3" s="194" t="s">
        <v>342</v>
      </c>
      <c r="F3" s="194" t="s">
        <v>514</v>
      </c>
      <c r="H3" s="182" t="s">
        <v>237</v>
      </c>
      <c r="M3" s="179" t="str">
        <f t="shared" ref="M3:M13" si="2">IF(AND(H3=0,I3=0,J3=0),"-",IF(A3=2,CONCATENATE(H3,I3," ",B3),IF(ISBLANK(H2),CONCATENATE(H3,I3," ",B2),M2)))</f>
        <v>A. Pohledávky za upsaný základní kapitál</v>
      </c>
      <c r="N3" s="179" t="str">
        <f t="shared" si="0"/>
        <v>002 Pohledávky za upsaný základní kapitál</v>
      </c>
      <c r="O3" s="178" t="str">
        <f t="shared" si="1"/>
        <v>Pohledávky za upsaný základní kapitál</v>
      </c>
    </row>
    <row r="4" spans="1:15" x14ac:dyDescent="0.2">
      <c r="A4" s="193">
        <v>3</v>
      </c>
      <c r="B4" s="182" t="s">
        <v>816</v>
      </c>
      <c r="C4" s="182" t="s">
        <v>817</v>
      </c>
      <c r="D4" s="182" t="s">
        <v>818</v>
      </c>
      <c r="E4" s="194" t="s">
        <v>342</v>
      </c>
      <c r="F4" s="194" t="s">
        <v>514</v>
      </c>
      <c r="M4" s="179" t="str">
        <f t="shared" si="2"/>
        <v>-</v>
      </c>
      <c r="N4" s="179" t="str">
        <f t="shared" si="0"/>
        <v>-</v>
      </c>
      <c r="O4" s="178" t="str">
        <f t="shared" si="1"/>
        <v>Dlouhodobý majetek      (ř. 04 + 14 + 27)</v>
      </c>
    </row>
    <row r="5" spans="1:15" x14ac:dyDescent="0.2">
      <c r="A5" s="193">
        <v>4</v>
      </c>
      <c r="B5" s="182" t="s">
        <v>819</v>
      </c>
      <c r="C5" s="182" t="s">
        <v>820</v>
      </c>
      <c r="D5" s="182" t="s">
        <v>821</v>
      </c>
      <c r="E5" s="194" t="s">
        <v>342</v>
      </c>
      <c r="F5" s="194" t="s">
        <v>514</v>
      </c>
      <c r="M5" s="179" t="str">
        <f t="shared" si="2"/>
        <v>-</v>
      </c>
      <c r="N5" s="179" t="str">
        <f t="shared" si="0"/>
        <v>-</v>
      </c>
      <c r="O5" s="178" t="str">
        <f t="shared" si="1"/>
        <v>Dlouhodobý nehmotný majetek      (ř. 05 + 06 + 09 + 10 + 11)</v>
      </c>
    </row>
    <row r="6" spans="1:15" x14ac:dyDescent="0.2">
      <c r="A6" s="193">
        <v>5</v>
      </c>
      <c r="B6" s="182" t="s">
        <v>259</v>
      </c>
      <c r="C6" s="182" t="s">
        <v>406</v>
      </c>
      <c r="D6" s="182" t="s">
        <v>344</v>
      </c>
      <c r="E6" s="194" t="s">
        <v>342</v>
      </c>
      <c r="F6" s="194" t="s">
        <v>514</v>
      </c>
      <c r="H6" s="182" t="s">
        <v>238</v>
      </c>
      <c r="I6" s="182" t="s">
        <v>239</v>
      </c>
      <c r="J6" s="184" t="s">
        <v>240</v>
      </c>
      <c r="M6" s="179" t="str">
        <f t="shared" si="2"/>
        <v>B.I. Dlouhodobý nehmotný majetek      (ř. 05 + 06 + 09 + 10 + 11)</v>
      </c>
      <c r="N6" s="179" t="str">
        <f t="shared" si="0"/>
        <v xml:space="preserve">005 Nehmotné výsledky výzkumu a vývoje </v>
      </c>
      <c r="O6" s="178" t="str">
        <f t="shared" si="1"/>
        <v xml:space="preserve">Nehmotné výsledky výzkumu a vývoje </v>
      </c>
    </row>
    <row r="7" spans="1:15" x14ac:dyDescent="0.2">
      <c r="A7" s="193">
        <v>6</v>
      </c>
      <c r="B7" s="182" t="s">
        <v>2</v>
      </c>
      <c r="C7" s="182" t="s">
        <v>407</v>
      </c>
      <c r="D7" s="182" t="s">
        <v>822</v>
      </c>
      <c r="E7" s="194" t="s">
        <v>342</v>
      </c>
      <c r="F7" s="194" t="s">
        <v>514</v>
      </c>
      <c r="H7" s="182" t="s">
        <v>238</v>
      </c>
      <c r="I7" s="182" t="s">
        <v>239</v>
      </c>
      <c r="J7" s="184" t="s">
        <v>241</v>
      </c>
      <c r="M7" s="179" t="str">
        <f t="shared" si="2"/>
        <v>B.I. Dlouhodobý nehmotný majetek      (ř. 05 + 06 + 09 + 10 + 11)</v>
      </c>
      <c r="N7" s="179" t="str">
        <f t="shared" si="0"/>
        <v>006 Ocenitelná práva</v>
      </c>
      <c r="O7" s="178" t="str">
        <f t="shared" si="1"/>
        <v>Ocenitelná práva</v>
      </c>
    </row>
    <row r="8" spans="1:15" x14ac:dyDescent="0.2">
      <c r="A8" s="193">
        <v>7</v>
      </c>
      <c r="B8" s="182" t="s">
        <v>1</v>
      </c>
      <c r="C8" s="182" t="s">
        <v>1</v>
      </c>
      <c r="D8" s="182" t="s">
        <v>1</v>
      </c>
      <c r="E8" s="194" t="s">
        <v>342</v>
      </c>
      <c r="F8" s="194" t="s">
        <v>514</v>
      </c>
      <c r="H8" s="182" t="s">
        <v>238</v>
      </c>
      <c r="I8" s="182" t="s">
        <v>239</v>
      </c>
      <c r="J8" s="184" t="s">
        <v>241</v>
      </c>
      <c r="K8" s="184" t="s">
        <v>240</v>
      </c>
      <c r="M8" s="179" t="str">
        <f t="shared" si="2"/>
        <v>B.I. Dlouhodobý nehmotný majetek      (ř. 05 + 06 + 09 + 10 + 11)</v>
      </c>
      <c r="N8" s="179" t="str">
        <f t="shared" si="0"/>
        <v>007 Software</v>
      </c>
      <c r="O8" s="178" t="str">
        <f t="shared" si="1"/>
        <v>Software</v>
      </c>
    </row>
    <row r="9" spans="1:15" x14ac:dyDescent="0.2">
      <c r="A9" s="193">
        <v>8</v>
      </c>
      <c r="B9" s="182" t="s">
        <v>652</v>
      </c>
      <c r="C9" s="182" t="s">
        <v>823</v>
      </c>
      <c r="D9" s="182" t="s">
        <v>345</v>
      </c>
      <c r="E9" s="194" t="s">
        <v>342</v>
      </c>
      <c r="F9" s="194" t="s">
        <v>514</v>
      </c>
      <c r="H9" s="182" t="s">
        <v>238</v>
      </c>
      <c r="I9" s="182" t="s">
        <v>239</v>
      </c>
      <c r="J9" s="184" t="s">
        <v>241</v>
      </c>
      <c r="K9" s="184" t="s">
        <v>241</v>
      </c>
      <c r="M9" s="179" t="str">
        <f t="shared" si="2"/>
        <v>B.I. Dlouhodobý nehmotný majetek      (ř. 05 + 06 + 09 + 10 + 11)</v>
      </c>
      <c r="N9" s="179" t="str">
        <f t="shared" si="0"/>
        <v>008 Ostatní ocenitelná práva</v>
      </c>
      <c r="O9" s="178" t="str">
        <f t="shared" si="1"/>
        <v>Ostatní ocenitelná práva</v>
      </c>
    </row>
    <row r="10" spans="1:15" x14ac:dyDescent="0.2">
      <c r="A10" s="193">
        <v>9</v>
      </c>
      <c r="B10" s="182" t="s">
        <v>3</v>
      </c>
      <c r="C10" s="182" t="s">
        <v>3</v>
      </c>
      <c r="D10" s="182" t="s">
        <v>824</v>
      </c>
      <c r="E10" s="194" t="s">
        <v>342</v>
      </c>
      <c r="F10" s="194" t="s">
        <v>514</v>
      </c>
      <c r="H10" s="182" t="s">
        <v>238</v>
      </c>
      <c r="I10" s="182" t="s">
        <v>239</v>
      </c>
      <c r="J10" s="184" t="s">
        <v>242</v>
      </c>
      <c r="M10" s="179" t="str">
        <f t="shared" si="2"/>
        <v>B.I. Dlouhodobý nehmotný majetek      (ř. 05 + 06 + 09 + 10 + 11)</v>
      </c>
      <c r="N10" s="179" t="str">
        <f t="shared" si="0"/>
        <v>009 Goodwill</v>
      </c>
      <c r="O10" s="178" t="str">
        <f t="shared" si="1"/>
        <v>Goodwill</v>
      </c>
    </row>
    <row r="11" spans="1:15" x14ac:dyDescent="0.2">
      <c r="A11" s="193">
        <v>10</v>
      </c>
      <c r="B11" s="182" t="s">
        <v>653</v>
      </c>
      <c r="C11" s="182" t="s">
        <v>408</v>
      </c>
      <c r="D11" s="182" t="s">
        <v>346</v>
      </c>
      <c r="E11" s="194" t="s">
        <v>342</v>
      </c>
      <c r="F11" s="194" t="s">
        <v>514</v>
      </c>
      <c r="H11" s="182" t="s">
        <v>238</v>
      </c>
      <c r="I11" s="182" t="s">
        <v>239</v>
      </c>
      <c r="J11" s="184" t="s">
        <v>243</v>
      </c>
      <c r="M11" s="179" t="str">
        <f t="shared" si="2"/>
        <v>B.I. Dlouhodobý nehmotný majetek      (ř. 05 + 06 + 09 + 10 + 11)</v>
      </c>
      <c r="N11" s="179" t="str">
        <f t="shared" si="0"/>
        <v>010 Ostatní dlouhodobý nehmotný majetek</v>
      </c>
      <c r="O11" s="178" t="str">
        <f t="shared" si="1"/>
        <v>Ostatní dlouhodobý nehmotný majetek</v>
      </c>
    </row>
    <row r="12" spans="1:15" x14ac:dyDescent="0.2">
      <c r="A12" s="193">
        <v>11</v>
      </c>
      <c r="B12" s="182" t="s">
        <v>654</v>
      </c>
      <c r="C12" s="182" t="s">
        <v>825</v>
      </c>
      <c r="D12" s="182" t="s">
        <v>826</v>
      </c>
      <c r="E12" s="194" t="s">
        <v>342</v>
      </c>
      <c r="F12" s="194" t="s">
        <v>514</v>
      </c>
      <c r="H12" s="182" t="s">
        <v>238</v>
      </c>
      <c r="I12" s="182" t="s">
        <v>239</v>
      </c>
      <c r="J12" s="184" t="s">
        <v>244</v>
      </c>
      <c r="M12" s="179" t="str">
        <f t="shared" si="2"/>
        <v>B.I. Dlouhodobý nehmotný majetek      (ř. 05 + 06 + 09 + 10 + 11)</v>
      </c>
      <c r="N12" s="179" t="str">
        <f t="shared" si="0"/>
        <v>011 Poskytnuté zálohy na dlouhodobý nehmotný majetek a nedokončený dlouhodobý nehmotný majetek</v>
      </c>
      <c r="O12" s="178" t="str">
        <f t="shared" si="1"/>
        <v>Poskytnuté zálohy na dlouhodobý nehmotný majetek a nedokončený dlouhodobý nehmotný majetek</v>
      </c>
    </row>
    <row r="13" spans="1:15" x14ac:dyDescent="0.2">
      <c r="A13" s="193">
        <v>12</v>
      </c>
      <c r="B13" s="182" t="s">
        <v>11</v>
      </c>
      <c r="C13" s="182" t="s">
        <v>410</v>
      </c>
      <c r="D13" s="182" t="s">
        <v>348</v>
      </c>
      <c r="E13" s="194" t="s">
        <v>342</v>
      </c>
      <c r="F13" s="194" t="s">
        <v>514</v>
      </c>
      <c r="H13" s="182" t="s">
        <v>238</v>
      </c>
      <c r="I13" s="182" t="s">
        <v>239</v>
      </c>
      <c r="J13" s="184" t="s">
        <v>244</v>
      </c>
      <c r="K13" s="184" t="s">
        <v>240</v>
      </c>
      <c r="M13" s="179" t="str">
        <f t="shared" si="2"/>
        <v>B.I. Dlouhodobý nehmotný majetek      (ř. 05 + 06 + 09 + 10 + 11)</v>
      </c>
      <c r="N13" s="179" t="str">
        <f t="shared" si="0"/>
        <v>012 Poskytnuté zálohy na dlouhodobý nehmotný majetek</v>
      </c>
      <c r="O13" s="178" t="str">
        <f t="shared" si="1"/>
        <v>Poskytnuté zálohy na dlouhodobý nehmotný majetek</v>
      </c>
    </row>
    <row r="14" spans="1:15" x14ac:dyDescent="0.2">
      <c r="A14" s="193">
        <v>13</v>
      </c>
      <c r="B14" s="182" t="s">
        <v>248</v>
      </c>
      <c r="C14" s="182" t="s">
        <v>409</v>
      </c>
      <c r="D14" s="182" t="s">
        <v>347</v>
      </c>
      <c r="E14" s="194" t="s">
        <v>342</v>
      </c>
      <c r="F14" s="194" t="s">
        <v>514</v>
      </c>
      <c r="H14" s="182" t="s">
        <v>238</v>
      </c>
      <c r="I14" s="182" t="s">
        <v>239</v>
      </c>
      <c r="J14" s="184" t="s">
        <v>244</v>
      </c>
      <c r="K14" s="269" t="s">
        <v>241</v>
      </c>
      <c r="L14" s="269"/>
      <c r="M14" s="270" t="str">
        <f t="shared" ref="M14:M27" si="3">IF(AND(H14=0,I14=0,J14=0),"-",IF(A14=2,CONCATENATE(H14,I14," ",B14),IF(ISBLANK(H13),CONCATENATE(H14,I14," ",B13),M13)))</f>
        <v>B.I. Dlouhodobý nehmotný majetek      (ř. 05 + 06 + 09 + 10 + 11)</v>
      </c>
      <c r="N14" s="270" t="str">
        <f t="shared" si="0"/>
        <v>013 Nedokončený dlouhodobý nehmotný majetek</v>
      </c>
      <c r="O14" s="271" t="str">
        <f t="shared" si="1"/>
        <v>Nedokončený dlouhodobý nehmotný majetek</v>
      </c>
    </row>
    <row r="15" spans="1:15" x14ac:dyDescent="0.2">
      <c r="A15" s="193">
        <v>14</v>
      </c>
      <c r="B15" s="182" t="s">
        <v>827</v>
      </c>
      <c r="C15" s="182" t="s">
        <v>828</v>
      </c>
      <c r="D15" s="182" t="s">
        <v>829</v>
      </c>
      <c r="E15" s="194" t="s">
        <v>342</v>
      </c>
      <c r="F15" s="194" t="s">
        <v>514</v>
      </c>
      <c r="M15" s="270" t="str">
        <f t="shared" si="3"/>
        <v>-</v>
      </c>
      <c r="N15" s="179" t="str">
        <f t="shared" si="0"/>
        <v>-</v>
      </c>
      <c r="O15" s="178" t="str">
        <f t="shared" si="1"/>
        <v>Dlouhodobý hmotný majetek      (ř. 15 + 18 + 19 + 20 + 24)</v>
      </c>
    </row>
    <row r="16" spans="1:15" x14ac:dyDescent="0.2">
      <c r="A16" s="266">
        <v>15</v>
      </c>
      <c r="B16" s="182" t="s">
        <v>655</v>
      </c>
      <c r="C16" s="182" t="s">
        <v>656</v>
      </c>
      <c r="D16" s="182" t="s">
        <v>657</v>
      </c>
      <c r="E16" s="194" t="s">
        <v>342</v>
      </c>
      <c r="F16" s="194" t="s">
        <v>514</v>
      </c>
      <c r="G16" s="268"/>
      <c r="H16" s="267"/>
      <c r="I16" s="267"/>
      <c r="J16" s="269"/>
      <c r="K16" s="269"/>
      <c r="L16" s="269"/>
      <c r="M16" s="270" t="str">
        <f t="shared" si="3"/>
        <v>-</v>
      </c>
      <c r="N16" s="270" t="str">
        <f t="shared" si="0"/>
        <v>-</v>
      </c>
      <c r="O16" s="271" t="str">
        <f t="shared" si="1"/>
        <v>Pozemky a stavby</v>
      </c>
    </row>
    <row r="17" spans="1:15" x14ac:dyDescent="0.2">
      <c r="A17" s="193">
        <v>16</v>
      </c>
      <c r="B17" s="182" t="s">
        <v>8</v>
      </c>
      <c r="C17" s="182" t="s">
        <v>411</v>
      </c>
      <c r="D17" s="182" t="s">
        <v>349</v>
      </c>
      <c r="E17" s="194" t="s">
        <v>342</v>
      </c>
      <c r="F17" s="194" t="s">
        <v>514</v>
      </c>
      <c r="H17" s="182" t="s">
        <v>238</v>
      </c>
      <c r="I17" s="182" t="s">
        <v>249</v>
      </c>
      <c r="J17" s="184" t="s">
        <v>240</v>
      </c>
      <c r="K17" s="184" t="s">
        <v>240</v>
      </c>
      <c r="M17" s="270" t="str">
        <f t="shared" si="3"/>
        <v>B.II. Pozemky a stavby</v>
      </c>
      <c r="N17" s="179" t="str">
        <f t="shared" si="0"/>
        <v>016 Pozemky</v>
      </c>
      <c r="O17" s="178" t="str">
        <f t="shared" si="1"/>
        <v>Pozemky</v>
      </c>
    </row>
    <row r="18" spans="1:15" x14ac:dyDescent="0.2">
      <c r="A18" s="266">
        <v>17</v>
      </c>
      <c r="B18" s="182" t="s">
        <v>4</v>
      </c>
      <c r="C18" s="182" t="s">
        <v>412</v>
      </c>
      <c r="D18" s="182" t="s">
        <v>350</v>
      </c>
      <c r="E18" s="194" t="s">
        <v>342</v>
      </c>
      <c r="F18" s="194" t="s">
        <v>514</v>
      </c>
      <c r="H18" s="182" t="s">
        <v>238</v>
      </c>
      <c r="I18" s="182" t="s">
        <v>249</v>
      </c>
      <c r="J18" s="184" t="s">
        <v>240</v>
      </c>
      <c r="K18" s="184" t="s">
        <v>241</v>
      </c>
      <c r="M18" s="270" t="str">
        <f t="shared" si="3"/>
        <v>B.II. Pozemky a stavby</v>
      </c>
      <c r="N18" s="179" t="str">
        <f t="shared" si="0"/>
        <v>017 Stavby</v>
      </c>
      <c r="O18" s="178" t="str">
        <f t="shared" si="1"/>
        <v>Stavby</v>
      </c>
    </row>
    <row r="19" spans="1:15" x14ac:dyDescent="0.2">
      <c r="A19" s="193">
        <v>18</v>
      </c>
      <c r="B19" s="182" t="s">
        <v>658</v>
      </c>
      <c r="C19" s="182" t="s">
        <v>413</v>
      </c>
      <c r="D19" s="182" t="s">
        <v>351</v>
      </c>
      <c r="E19" s="194" t="s">
        <v>342</v>
      </c>
      <c r="F19" s="194" t="s">
        <v>514</v>
      </c>
      <c r="H19" s="182" t="s">
        <v>238</v>
      </c>
      <c r="I19" s="182" t="s">
        <v>249</v>
      </c>
      <c r="J19" s="184" t="s">
        <v>241</v>
      </c>
      <c r="M19" s="270" t="str">
        <f t="shared" si="3"/>
        <v>B.II. Pozemky a stavby</v>
      </c>
      <c r="N19" s="179" t="str">
        <f t="shared" si="0"/>
        <v>018 Hmotné movité věci a jejich soubory</v>
      </c>
      <c r="O19" s="178" t="str">
        <f t="shared" si="1"/>
        <v>Hmotné movité věci a jejich soubory</v>
      </c>
    </row>
    <row r="20" spans="1:15" x14ac:dyDescent="0.2">
      <c r="A20" s="266">
        <v>19</v>
      </c>
      <c r="B20" s="182" t="s">
        <v>30</v>
      </c>
      <c r="C20" s="182" t="s">
        <v>419</v>
      </c>
      <c r="D20" s="182" t="s">
        <v>357</v>
      </c>
      <c r="E20" s="194" t="s">
        <v>342</v>
      </c>
      <c r="F20" s="194" t="s">
        <v>514</v>
      </c>
      <c r="G20" s="268"/>
      <c r="H20" s="182" t="s">
        <v>238</v>
      </c>
      <c r="I20" s="182" t="s">
        <v>249</v>
      </c>
      <c r="J20" s="184" t="s">
        <v>242</v>
      </c>
      <c r="K20" s="269"/>
      <c r="L20" s="269"/>
      <c r="M20" s="270" t="str">
        <f t="shared" si="3"/>
        <v>B.II. Pozemky a stavby</v>
      </c>
      <c r="N20" s="270" t="str">
        <f t="shared" si="0"/>
        <v>019 Oceňovací rozdíl k nabytému majetku</v>
      </c>
      <c r="O20" s="271" t="str">
        <f t="shared" si="1"/>
        <v>Oceňovací rozdíl k nabytému majetku</v>
      </c>
    </row>
    <row r="21" spans="1:15" x14ac:dyDescent="0.2">
      <c r="A21" s="193">
        <v>20</v>
      </c>
      <c r="B21" s="182" t="s">
        <v>659</v>
      </c>
      <c r="C21" s="182" t="s">
        <v>416</v>
      </c>
      <c r="D21" s="182" t="s">
        <v>354</v>
      </c>
      <c r="E21" s="194" t="s">
        <v>342</v>
      </c>
      <c r="F21" s="194" t="s">
        <v>514</v>
      </c>
      <c r="G21" s="268"/>
      <c r="K21" s="269"/>
      <c r="L21" s="269"/>
      <c r="M21" s="270" t="str">
        <f t="shared" si="3"/>
        <v>-</v>
      </c>
      <c r="N21" s="270" t="str">
        <f t="shared" si="0"/>
        <v>-</v>
      </c>
      <c r="O21" s="271" t="str">
        <f t="shared" si="1"/>
        <v>Ostatní dlouhodobý hmotný majetek</v>
      </c>
    </row>
    <row r="22" spans="1:15" x14ac:dyDescent="0.2">
      <c r="A22" s="266">
        <v>21</v>
      </c>
      <c r="B22" s="182" t="s">
        <v>5</v>
      </c>
      <c r="C22" s="182" t="s">
        <v>414</v>
      </c>
      <c r="D22" s="182" t="s">
        <v>352</v>
      </c>
      <c r="E22" s="194" t="s">
        <v>342</v>
      </c>
      <c r="F22" s="194" t="s">
        <v>514</v>
      </c>
      <c r="H22" s="182" t="s">
        <v>238</v>
      </c>
      <c r="I22" s="182" t="s">
        <v>249</v>
      </c>
      <c r="J22" s="184" t="s">
        <v>243</v>
      </c>
      <c r="K22" s="184" t="s">
        <v>240</v>
      </c>
      <c r="M22" s="270" t="str">
        <f t="shared" si="3"/>
        <v>B.II. Ostatní dlouhodobý hmotný majetek</v>
      </c>
      <c r="N22" s="179" t="str">
        <f t="shared" si="0"/>
        <v>021 Pěstitelské celky trvalých porostů</v>
      </c>
      <c r="O22" s="178" t="str">
        <f t="shared" si="1"/>
        <v>Pěstitelské celky trvalých porostů</v>
      </c>
    </row>
    <row r="23" spans="1:15" x14ac:dyDescent="0.2">
      <c r="A23" s="193">
        <v>22</v>
      </c>
      <c r="B23" s="182" t="s">
        <v>6</v>
      </c>
      <c r="C23" s="182" t="s">
        <v>415</v>
      </c>
      <c r="D23" s="182" t="s">
        <v>353</v>
      </c>
      <c r="E23" s="194" t="s">
        <v>342</v>
      </c>
      <c r="F23" s="194" t="s">
        <v>514</v>
      </c>
      <c r="H23" s="182" t="s">
        <v>238</v>
      </c>
      <c r="I23" s="182" t="s">
        <v>249</v>
      </c>
      <c r="J23" s="184" t="s">
        <v>243</v>
      </c>
      <c r="K23" s="184" t="s">
        <v>241</v>
      </c>
      <c r="M23" s="270" t="str">
        <f t="shared" si="3"/>
        <v>B.II. Ostatní dlouhodobý hmotný majetek</v>
      </c>
      <c r="N23" s="179" t="str">
        <f t="shared" si="0"/>
        <v>022 Dospělá zvířata a jejich skupiny</v>
      </c>
      <c r="O23" s="178" t="str">
        <f t="shared" si="1"/>
        <v>Dospělá zvířata a jejich skupiny</v>
      </c>
    </row>
    <row r="24" spans="1:15" x14ac:dyDescent="0.2">
      <c r="A24" s="266">
        <v>23</v>
      </c>
      <c r="B24" s="182" t="s">
        <v>7</v>
      </c>
      <c r="C24" s="182" t="s">
        <v>830</v>
      </c>
      <c r="D24" s="182" t="s">
        <v>831</v>
      </c>
      <c r="E24" s="194" t="s">
        <v>342</v>
      </c>
      <c r="F24" s="194" t="s">
        <v>514</v>
      </c>
      <c r="H24" s="182" t="s">
        <v>238</v>
      </c>
      <c r="I24" s="182" t="s">
        <v>249</v>
      </c>
      <c r="J24" s="184" t="s">
        <v>243</v>
      </c>
      <c r="K24" s="184" t="s">
        <v>242</v>
      </c>
      <c r="M24" s="270" t="str">
        <f t="shared" si="3"/>
        <v>B.II. Ostatní dlouhodobý hmotný majetek</v>
      </c>
      <c r="N24" s="179" t="str">
        <f t="shared" si="0"/>
        <v>023 Jiný dlouhodobý hmotný majetek</v>
      </c>
      <c r="O24" s="178" t="str">
        <f t="shared" si="1"/>
        <v>Jiný dlouhodobý hmotný majetek</v>
      </c>
    </row>
    <row r="25" spans="1:15" x14ac:dyDescent="0.2">
      <c r="A25" s="193">
        <v>24</v>
      </c>
      <c r="B25" s="182" t="s">
        <v>660</v>
      </c>
      <c r="C25" s="182" t="s">
        <v>832</v>
      </c>
      <c r="D25" s="182" t="s">
        <v>833</v>
      </c>
      <c r="E25" s="194" t="s">
        <v>342</v>
      </c>
      <c r="F25" s="194" t="s">
        <v>514</v>
      </c>
      <c r="G25" s="268"/>
      <c r="H25" s="267"/>
      <c r="I25" s="267"/>
      <c r="J25" s="269"/>
      <c r="K25" s="269"/>
      <c r="L25" s="269"/>
      <c r="M25" s="270" t="str">
        <f t="shared" si="3"/>
        <v>-</v>
      </c>
      <c r="N25" s="270" t="str">
        <f t="shared" si="0"/>
        <v>-</v>
      </c>
      <c r="O25" s="271" t="str">
        <f t="shared" si="1"/>
        <v>Poskytnuté zálohy na dlouhodobý hmotný majetek a nedokončený dlouhodobý hmotný majetek</v>
      </c>
    </row>
    <row r="26" spans="1:15" x14ac:dyDescent="0.2">
      <c r="A26" s="266">
        <v>25</v>
      </c>
      <c r="B26" s="182" t="s">
        <v>12</v>
      </c>
      <c r="C26" s="182" t="s">
        <v>418</v>
      </c>
      <c r="D26" s="182" t="s">
        <v>356</v>
      </c>
      <c r="E26" s="194" t="s">
        <v>342</v>
      </c>
      <c r="F26" s="194" t="s">
        <v>514</v>
      </c>
      <c r="H26" s="182" t="s">
        <v>238</v>
      </c>
      <c r="I26" s="182" t="s">
        <v>249</v>
      </c>
      <c r="J26" s="184" t="s">
        <v>244</v>
      </c>
      <c r="K26" s="184" t="s">
        <v>240</v>
      </c>
      <c r="M26" s="270" t="str">
        <f t="shared" si="3"/>
        <v>B.II. Poskytnuté zálohy na dlouhodobý hmotný majetek a nedokončený dlouhodobý hmotný majetek</v>
      </c>
      <c r="N26" s="179" t="str">
        <f t="shared" si="0"/>
        <v>025 Poskytnuté zálohy na dlouhodobý hmotný majetek</v>
      </c>
      <c r="O26" s="178" t="str">
        <f t="shared" si="1"/>
        <v>Poskytnuté zálohy na dlouhodobý hmotný majetek</v>
      </c>
    </row>
    <row r="27" spans="1:15" x14ac:dyDescent="0.2">
      <c r="A27" s="193">
        <v>26</v>
      </c>
      <c r="B27" s="182" t="s">
        <v>251</v>
      </c>
      <c r="C27" s="182" t="s">
        <v>417</v>
      </c>
      <c r="D27" s="182" t="s">
        <v>355</v>
      </c>
      <c r="E27" s="194" t="s">
        <v>342</v>
      </c>
      <c r="F27" s="194" t="s">
        <v>514</v>
      </c>
      <c r="H27" s="182" t="s">
        <v>238</v>
      </c>
      <c r="I27" s="182" t="s">
        <v>249</v>
      </c>
      <c r="J27" s="184" t="s">
        <v>244</v>
      </c>
      <c r="K27" s="184" t="s">
        <v>241</v>
      </c>
      <c r="M27" s="270" t="str">
        <f t="shared" si="3"/>
        <v>B.II. Poskytnuté zálohy na dlouhodobý hmotný majetek a nedokončený dlouhodobý hmotný majetek</v>
      </c>
      <c r="N27" s="179" t="str">
        <f t="shared" si="0"/>
        <v>026 Nedokončený dlouhodobý hmotný majetek</v>
      </c>
      <c r="O27" s="178" t="str">
        <f t="shared" si="1"/>
        <v>Nedokončený dlouhodobý hmotný majetek</v>
      </c>
    </row>
    <row r="28" spans="1:15" x14ac:dyDescent="0.2">
      <c r="A28" s="266">
        <v>27</v>
      </c>
      <c r="B28" s="182" t="s">
        <v>834</v>
      </c>
      <c r="C28" s="182" t="s">
        <v>835</v>
      </c>
      <c r="D28" s="182" t="s">
        <v>836</v>
      </c>
      <c r="E28" s="194" t="s">
        <v>342</v>
      </c>
      <c r="F28" s="194" t="s">
        <v>514</v>
      </c>
      <c r="M28" s="270" t="str">
        <f>IF(AND(H28=0,I28=0,J28=0),"-",IF(A28=2,CONCATENATE(H28,I28," ",B28),IF(ISBLANK(#REF!),CONCATENATE(H28,I28," ",#REF!),#REF!)))</f>
        <v>-</v>
      </c>
      <c r="N28" s="179" t="str">
        <f t="shared" si="0"/>
        <v>-</v>
      </c>
      <c r="O28" s="178" t="str">
        <f t="shared" si="1"/>
        <v>Dlouhodobý finanční majetek      (ř. 28 až 34)</v>
      </c>
    </row>
    <row r="29" spans="1:15" x14ac:dyDescent="0.2">
      <c r="A29" s="193">
        <v>28</v>
      </c>
      <c r="B29" s="182" t="s">
        <v>661</v>
      </c>
      <c r="C29" s="182" t="s">
        <v>420</v>
      </c>
      <c r="D29" s="182" t="s">
        <v>358</v>
      </c>
      <c r="E29" s="194" t="s">
        <v>342</v>
      </c>
      <c r="F29" s="194" t="s">
        <v>514</v>
      </c>
      <c r="H29" s="182" t="s">
        <v>238</v>
      </c>
      <c r="I29" s="182" t="s">
        <v>254</v>
      </c>
      <c r="J29" s="184" t="s">
        <v>240</v>
      </c>
      <c r="M29" s="270" t="str">
        <f>IF(AND(H29=0,I29=0,J29=0),"-",IF(A29=2,CONCATENATE(H29,I29," ",B29),IF(ISBLANK(H28),CONCATENATE(H29,I29," ",B28),M28)))</f>
        <v>B.III. Dlouhodobý finanční majetek      (ř. 28 až 34)</v>
      </c>
      <c r="N29" s="179" t="str">
        <f t="shared" si="0"/>
        <v>028 Podíly - ovládaná nebo ovládající osoba</v>
      </c>
      <c r="O29" s="178" t="str">
        <f t="shared" si="1"/>
        <v>Podíly - ovládaná nebo ovládající osoba</v>
      </c>
    </row>
    <row r="30" spans="1:15" x14ac:dyDescent="0.2">
      <c r="A30" s="266">
        <v>29</v>
      </c>
      <c r="B30" s="182" t="s">
        <v>663</v>
      </c>
      <c r="C30" s="182" t="s">
        <v>664</v>
      </c>
      <c r="D30" s="182" t="s">
        <v>666</v>
      </c>
      <c r="E30" s="194" t="s">
        <v>342</v>
      </c>
      <c r="F30" s="194" t="s">
        <v>514</v>
      </c>
      <c r="H30" s="182" t="s">
        <v>238</v>
      </c>
      <c r="I30" s="182" t="s">
        <v>254</v>
      </c>
      <c r="J30" s="184" t="s">
        <v>243</v>
      </c>
      <c r="M30" s="270" t="str">
        <f>IF(AND(H30=0,I30=0,J30=0),"-",IF(A30=2,CONCATENATE(H30,I30," ",B30),IF(ISBLANK(H33),CONCATENATE(H30,I30," ",B33),M33)))</f>
        <v>B.III. Dlouhodobý finanční majetek      (ř. 28 až 34)</v>
      </c>
      <c r="N30" s="179" t="str">
        <f t="shared" si="0"/>
        <v>029 Zápůjčky a úvěry - ovládaná nebo ovládající osoba</v>
      </c>
      <c r="O30" s="178" t="str">
        <f t="shared" si="1"/>
        <v>Zápůjčky a úvěry - ovládaná nebo ovládající osoba</v>
      </c>
    </row>
    <row r="31" spans="1:15" x14ac:dyDescent="0.2">
      <c r="A31" s="193">
        <v>30</v>
      </c>
      <c r="B31" s="182" t="s">
        <v>662</v>
      </c>
      <c r="C31" s="182" t="s">
        <v>421</v>
      </c>
      <c r="D31" s="182" t="s">
        <v>359</v>
      </c>
      <c r="E31" s="194" t="s">
        <v>342</v>
      </c>
      <c r="F31" s="194" t="s">
        <v>514</v>
      </c>
      <c r="H31" s="182" t="s">
        <v>238</v>
      </c>
      <c r="I31" s="182" t="s">
        <v>254</v>
      </c>
      <c r="J31" s="184" t="s">
        <v>241</v>
      </c>
      <c r="M31" s="270" t="str">
        <f>IF(AND(H31=0,I31=0,J31=0),"-",IF(A31=2,CONCATENATE(H31,I31," ",B31),IF(ISBLANK(H29),CONCATENATE(H31,I31," ",B29),M29)))</f>
        <v>B.III. Dlouhodobý finanční majetek      (ř. 28 až 34)</v>
      </c>
      <c r="N31" s="179" t="str">
        <f t="shared" si="0"/>
        <v>030 Podíly - podstatný vliv</v>
      </c>
      <c r="O31" s="178" t="str">
        <f t="shared" si="1"/>
        <v>Podíly - podstatný vliv</v>
      </c>
    </row>
    <row r="32" spans="1:15" x14ac:dyDescent="0.2">
      <c r="A32" s="266">
        <v>31</v>
      </c>
      <c r="B32" s="182" t="s">
        <v>700</v>
      </c>
      <c r="C32" s="182" t="s">
        <v>665</v>
      </c>
      <c r="D32" s="182" t="s">
        <v>667</v>
      </c>
      <c r="E32" s="194" t="s">
        <v>342</v>
      </c>
      <c r="F32" s="194" t="s">
        <v>514</v>
      </c>
      <c r="H32" s="182" t="s">
        <v>238</v>
      </c>
      <c r="I32" s="182" t="s">
        <v>254</v>
      </c>
      <c r="J32" s="184" t="s">
        <v>243</v>
      </c>
      <c r="M32" s="270" t="str">
        <f>IF(AND(H32=0,I32=0,J32=0),"-",IF(A32=2,CONCATENATE(H32,I32," ",B32),IF(ISBLANK(H36),CONCATENATE(H32,I32," ",B36),M36)))</f>
        <v>B.III. Dlouhodobý finanční majetek      (ř. 28 až 34)</v>
      </c>
      <c r="N32" s="179" t="str">
        <f t="shared" si="0"/>
        <v>031 Zápůjčky a úvěry - podstatný vliv</v>
      </c>
      <c r="O32" s="178" t="str">
        <f t="shared" si="1"/>
        <v>Zápůjčky a úvěry - podstatný vliv</v>
      </c>
    </row>
    <row r="33" spans="1:15" x14ac:dyDescent="0.2">
      <c r="A33" s="193">
        <v>32</v>
      </c>
      <c r="B33" s="182" t="s">
        <v>260</v>
      </c>
      <c r="C33" s="182" t="s">
        <v>422</v>
      </c>
      <c r="D33" s="182" t="s">
        <v>360</v>
      </c>
      <c r="E33" s="194" t="s">
        <v>342</v>
      </c>
      <c r="F33" s="194" t="s">
        <v>514</v>
      </c>
      <c r="H33" s="182" t="s">
        <v>238</v>
      </c>
      <c r="I33" s="182" t="s">
        <v>254</v>
      </c>
      <c r="J33" s="184" t="s">
        <v>244</v>
      </c>
      <c r="M33" s="270" t="str">
        <f>IF(AND(H33=0,I33=0,J33=0),"-",IF(A33=2,CONCATENATE(H33,I33," ",B33),IF(ISBLANK(H31),CONCATENATE(H33,I33," ",B31),M31)))</f>
        <v>B.III. Dlouhodobý finanční majetek      (ř. 28 až 34)</v>
      </c>
      <c r="N33" s="179" t="str">
        <f t="shared" si="0"/>
        <v>032 Ostatní dlouhodobé cenné papíry a podíly</v>
      </c>
      <c r="O33" s="178" t="str">
        <f t="shared" si="1"/>
        <v>Ostatní dlouhodobé cenné papíry a podíly</v>
      </c>
    </row>
    <row r="34" spans="1:15" x14ac:dyDescent="0.2">
      <c r="A34" s="266">
        <v>33</v>
      </c>
      <c r="B34" s="182" t="s">
        <v>668</v>
      </c>
      <c r="C34" s="182" t="s">
        <v>669</v>
      </c>
      <c r="D34" s="182" t="s">
        <v>837</v>
      </c>
      <c r="E34" s="194" t="s">
        <v>342</v>
      </c>
      <c r="F34" s="194" t="s">
        <v>514</v>
      </c>
      <c r="G34" s="268"/>
      <c r="H34" s="182" t="s">
        <v>238</v>
      </c>
      <c r="I34" s="182" t="s">
        <v>254</v>
      </c>
      <c r="J34" s="184" t="s">
        <v>245</v>
      </c>
      <c r="K34" s="269"/>
      <c r="L34" s="269"/>
      <c r="M34" s="270" t="str">
        <f>IF(AND(H34=0,I34=0,J34=0),"-",IF(A34=2,CONCATENATE(H34,I34," ",B34),IF(ISBLANK(H33),CONCATENATE(H34,I34," ",B33),M33)))</f>
        <v>B.III. Dlouhodobý finanční majetek      (ř. 28 až 34)</v>
      </c>
      <c r="N34" s="270" t="str">
        <f t="shared" si="0"/>
        <v>033 Zápůjčky a úvěry - ostatní</v>
      </c>
      <c r="O34" s="271" t="str">
        <f t="shared" ref="O34:O65" si="4">IF(jazyk="česky",B34,IF(jazyk="anglicky",C34,IF(jazyk="německy",D34,"-")))</f>
        <v>Zápůjčky a úvěry - ostatní</v>
      </c>
    </row>
    <row r="35" spans="1:15" x14ac:dyDescent="0.2">
      <c r="A35" s="193">
        <v>34</v>
      </c>
      <c r="B35" s="182" t="s">
        <v>670</v>
      </c>
      <c r="C35" s="182" t="s">
        <v>838</v>
      </c>
      <c r="D35" s="182" t="s">
        <v>839</v>
      </c>
      <c r="E35" s="194" t="s">
        <v>342</v>
      </c>
      <c r="F35" s="194" t="s">
        <v>514</v>
      </c>
      <c r="H35" s="182" t="s">
        <v>238</v>
      </c>
      <c r="I35" s="182" t="s">
        <v>254</v>
      </c>
      <c r="M35" s="270" t="str">
        <f>IF(AND(H35=0,I35=0,J35=0),"-",IF(A35=2,CONCATENATE(H35,I35," ",B35),IF(ISBLANK(H30),CONCATENATE(H35,I35," ",B30),M30)))</f>
        <v>B.III. Dlouhodobý finanční majetek      (ř. 28 až 34)</v>
      </c>
      <c r="N35" s="179" t="str">
        <f t="shared" si="0"/>
        <v>034 Ostatní dlouhodobý finanční majetek</v>
      </c>
      <c r="O35" s="178" t="str">
        <f t="shared" si="4"/>
        <v>Ostatní dlouhodobý finanční majetek</v>
      </c>
    </row>
    <row r="36" spans="1:15" x14ac:dyDescent="0.2">
      <c r="A36" s="266">
        <v>35</v>
      </c>
      <c r="B36" s="182" t="s">
        <v>16</v>
      </c>
      <c r="C36" s="182" t="s">
        <v>840</v>
      </c>
      <c r="D36" s="182" t="s">
        <v>841</v>
      </c>
      <c r="E36" s="194" t="s">
        <v>342</v>
      </c>
      <c r="F36" s="194" t="s">
        <v>514</v>
      </c>
      <c r="H36" s="182" t="s">
        <v>238</v>
      </c>
      <c r="I36" s="182" t="s">
        <v>254</v>
      </c>
      <c r="J36" s="184" t="s">
        <v>246</v>
      </c>
      <c r="K36" s="184" t="s">
        <v>240</v>
      </c>
      <c r="M36" s="270" t="str">
        <f t="shared" ref="M36:M53" si="5">IF(AND(H36=0,I36=0,J36=0),"-",IF(A36=2,CONCATENATE(H36,I36," ",B36),IF(ISBLANK(H35),CONCATENATE(H36,I36," ",B35),M35)))</f>
        <v>B.III. Dlouhodobý finanční majetek      (ř. 28 až 34)</v>
      </c>
      <c r="N36" s="179" t="str">
        <f t="shared" si="0"/>
        <v>035 Jiný dlouhodobý finanční majetek</v>
      </c>
      <c r="O36" s="178" t="str">
        <f t="shared" si="4"/>
        <v>Jiný dlouhodobý finanční majetek</v>
      </c>
    </row>
    <row r="37" spans="1:15" x14ac:dyDescent="0.2">
      <c r="A37" s="193">
        <v>36</v>
      </c>
      <c r="B37" s="182" t="s">
        <v>13</v>
      </c>
      <c r="C37" s="182" t="s">
        <v>423</v>
      </c>
      <c r="D37" s="182" t="s">
        <v>361</v>
      </c>
      <c r="E37" s="194" t="s">
        <v>342</v>
      </c>
      <c r="F37" s="194" t="s">
        <v>514</v>
      </c>
      <c r="H37" s="182" t="s">
        <v>238</v>
      </c>
      <c r="I37" s="182" t="s">
        <v>254</v>
      </c>
      <c r="J37" s="184" t="s">
        <v>246</v>
      </c>
      <c r="K37" s="184" t="s">
        <v>241</v>
      </c>
      <c r="M37" s="270" t="str">
        <f t="shared" si="5"/>
        <v>B.III. Dlouhodobý finanční majetek      (ř. 28 až 34)</v>
      </c>
      <c r="N37" s="179" t="str">
        <f t="shared" si="0"/>
        <v>036 Poskytnuté zálohy na dlouhodobý finanční majetek</v>
      </c>
      <c r="O37" s="178" t="str">
        <f t="shared" si="4"/>
        <v>Poskytnuté zálohy na dlouhodobý finanční majetek</v>
      </c>
    </row>
    <row r="38" spans="1:15" x14ac:dyDescent="0.2">
      <c r="A38" s="266">
        <v>37</v>
      </c>
      <c r="B38" s="182" t="s">
        <v>842</v>
      </c>
      <c r="C38" s="182" t="s">
        <v>843</v>
      </c>
      <c r="D38" s="182" t="s">
        <v>844</v>
      </c>
      <c r="E38" s="194" t="s">
        <v>342</v>
      </c>
      <c r="F38" s="194" t="s">
        <v>514</v>
      </c>
      <c r="M38" s="270" t="str">
        <f t="shared" si="5"/>
        <v>-</v>
      </c>
      <c r="N38" s="179" t="str">
        <f t="shared" si="0"/>
        <v>-</v>
      </c>
      <c r="O38" s="178" t="str">
        <f t="shared" si="4"/>
        <v>Oběžná aktiva      (ř. 38 + 46 + 68 + 71)</v>
      </c>
    </row>
    <row r="39" spans="1:15" x14ac:dyDescent="0.2">
      <c r="A39" s="193">
        <v>38</v>
      </c>
      <c r="B39" s="182" t="s">
        <v>845</v>
      </c>
      <c r="C39" s="182" t="s">
        <v>846</v>
      </c>
      <c r="D39" s="182" t="s">
        <v>847</v>
      </c>
      <c r="E39" s="194" t="s">
        <v>342</v>
      </c>
      <c r="F39" s="194" t="s">
        <v>514</v>
      </c>
      <c r="M39" s="270" t="str">
        <f t="shared" si="5"/>
        <v>-</v>
      </c>
      <c r="N39" s="179" t="str">
        <f t="shared" si="0"/>
        <v>-</v>
      </c>
      <c r="O39" s="178" t="str">
        <f t="shared" si="4"/>
        <v>Zásoby      (ř. 39 + 40 + 41 + 44 + 45)</v>
      </c>
    </row>
    <row r="40" spans="1:15" x14ac:dyDescent="0.2">
      <c r="A40" s="266">
        <v>39</v>
      </c>
      <c r="B40" s="182" t="s">
        <v>224</v>
      </c>
      <c r="C40" s="182" t="s">
        <v>424</v>
      </c>
      <c r="D40" s="182" t="s">
        <v>362</v>
      </c>
      <c r="E40" s="194" t="s">
        <v>342</v>
      </c>
      <c r="F40" s="194" t="s">
        <v>514</v>
      </c>
      <c r="H40" s="182" t="s">
        <v>264</v>
      </c>
      <c r="I40" s="182" t="s">
        <v>239</v>
      </c>
      <c r="J40" s="184" t="s">
        <v>240</v>
      </c>
      <c r="M40" s="270" t="str">
        <f t="shared" si="5"/>
        <v>C.I. Zásoby      (ř. 39 + 40 + 41 + 44 + 45)</v>
      </c>
      <c r="N40" s="179" t="str">
        <f t="shared" si="0"/>
        <v>039 Materiál</v>
      </c>
      <c r="O40" s="178" t="str">
        <f t="shared" si="4"/>
        <v>Materiál</v>
      </c>
    </row>
    <row r="41" spans="1:15" x14ac:dyDescent="0.2">
      <c r="A41" s="193">
        <v>40</v>
      </c>
      <c r="B41" s="182" t="s">
        <v>265</v>
      </c>
      <c r="C41" s="182" t="s">
        <v>425</v>
      </c>
      <c r="D41" s="182" t="s">
        <v>363</v>
      </c>
      <c r="E41" s="194" t="s">
        <v>342</v>
      </c>
      <c r="F41" s="194" t="s">
        <v>514</v>
      </c>
      <c r="H41" s="182" t="s">
        <v>264</v>
      </c>
      <c r="I41" s="182" t="s">
        <v>239</v>
      </c>
      <c r="J41" s="184" t="s">
        <v>241</v>
      </c>
      <c r="M41" s="270" t="str">
        <f t="shared" si="5"/>
        <v>C.I. Zásoby      (ř. 39 + 40 + 41 + 44 + 45)</v>
      </c>
      <c r="N41" s="179" t="str">
        <f t="shared" si="0"/>
        <v>040 Nedokončená výroba a polotovary</v>
      </c>
      <c r="O41" s="178" t="str">
        <f t="shared" si="4"/>
        <v>Nedokončená výroba a polotovary</v>
      </c>
    </row>
    <row r="42" spans="1:15" x14ac:dyDescent="0.2">
      <c r="A42" s="266">
        <v>41</v>
      </c>
      <c r="B42" s="182" t="s">
        <v>671</v>
      </c>
      <c r="C42" s="182" t="s">
        <v>672</v>
      </c>
      <c r="D42" s="182" t="s">
        <v>673</v>
      </c>
      <c r="E42" s="194" t="s">
        <v>342</v>
      </c>
      <c r="F42" s="194" t="s">
        <v>514</v>
      </c>
      <c r="M42" s="270" t="str">
        <f t="shared" si="5"/>
        <v>-</v>
      </c>
      <c r="N42" s="179" t="str">
        <f t="shared" si="0"/>
        <v>-</v>
      </c>
      <c r="O42" s="178" t="str">
        <f t="shared" si="4"/>
        <v>Výrobky a zboží</v>
      </c>
    </row>
    <row r="43" spans="1:15" x14ac:dyDescent="0.2">
      <c r="A43" s="193">
        <v>42</v>
      </c>
      <c r="B43" s="182" t="s">
        <v>37</v>
      </c>
      <c r="C43" s="182" t="s">
        <v>674</v>
      </c>
      <c r="D43" s="182" t="s">
        <v>848</v>
      </c>
      <c r="E43" s="194" t="s">
        <v>342</v>
      </c>
      <c r="F43" s="194" t="s">
        <v>514</v>
      </c>
      <c r="G43" s="268"/>
      <c r="H43" s="182" t="s">
        <v>264</v>
      </c>
      <c r="I43" s="182" t="s">
        <v>239</v>
      </c>
      <c r="J43" s="184" t="s">
        <v>242</v>
      </c>
      <c r="K43" s="269" t="s">
        <v>240</v>
      </c>
      <c r="L43" s="269"/>
      <c r="M43" s="270" t="str">
        <f t="shared" si="5"/>
        <v>C.I. Výrobky a zboží</v>
      </c>
      <c r="N43" s="270" t="str">
        <f t="shared" ref="N43:N44" si="6">IF(ISBLANK(H43),"-",CONCATENATE(TEXT(A43,"000")," ",B43))</f>
        <v>042 Výrobky</v>
      </c>
      <c r="O43" s="271" t="str">
        <f t="shared" si="4"/>
        <v>Výrobky</v>
      </c>
    </row>
    <row r="44" spans="1:15" x14ac:dyDescent="0.2">
      <c r="A44" s="266">
        <v>43</v>
      </c>
      <c r="B44" s="182" t="s">
        <v>225</v>
      </c>
      <c r="C44" s="182" t="s">
        <v>427</v>
      </c>
      <c r="D44" s="182" t="s">
        <v>365</v>
      </c>
      <c r="E44" s="194" t="s">
        <v>342</v>
      </c>
      <c r="F44" s="194" t="s">
        <v>514</v>
      </c>
      <c r="G44" s="268"/>
      <c r="H44" s="182" t="s">
        <v>264</v>
      </c>
      <c r="I44" s="182" t="s">
        <v>239</v>
      </c>
      <c r="J44" s="184" t="s">
        <v>242</v>
      </c>
      <c r="K44" s="269" t="s">
        <v>241</v>
      </c>
      <c r="L44" s="269"/>
      <c r="M44" s="270" t="str">
        <f t="shared" si="5"/>
        <v>C.I. Výrobky a zboží</v>
      </c>
      <c r="N44" s="270" t="str">
        <f t="shared" si="6"/>
        <v>043 Zboží</v>
      </c>
      <c r="O44" s="271" t="str">
        <f t="shared" si="4"/>
        <v>Zboží</v>
      </c>
    </row>
    <row r="45" spans="1:15" x14ac:dyDescent="0.2">
      <c r="A45" s="193">
        <v>44</v>
      </c>
      <c r="B45" s="182" t="s">
        <v>38</v>
      </c>
      <c r="C45" s="182" t="s">
        <v>426</v>
      </c>
      <c r="D45" s="182" t="s">
        <v>364</v>
      </c>
      <c r="E45" s="194" t="s">
        <v>342</v>
      </c>
      <c r="F45" s="194" t="s">
        <v>514</v>
      </c>
      <c r="H45" s="182" t="s">
        <v>264</v>
      </c>
      <c r="I45" s="182" t="s">
        <v>239</v>
      </c>
      <c r="J45" s="184" t="s">
        <v>243</v>
      </c>
      <c r="M45" s="270" t="str">
        <f t="shared" si="5"/>
        <v>C.I. Výrobky a zboží</v>
      </c>
      <c r="N45" s="179" t="str">
        <f t="shared" ref="N45:N69" si="7">IF(ISBLANK(H45),"-",CONCATENATE(TEXT(A45,"000")," ",B45))</f>
        <v>044 Mladá a ostatní zvířata a jejich skupiny</v>
      </c>
      <c r="O45" s="178" t="str">
        <f t="shared" si="4"/>
        <v>Mladá a ostatní zvířata a jejich skupiny</v>
      </c>
    </row>
    <row r="46" spans="1:15" x14ac:dyDescent="0.2">
      <c r="A46" s="266">
        <v>45</v>
      </c>
      <c r="B46" s="182" t="s">
        <v>229</v>
      </c>
      <c r="C46" s="182" t="s">
        <v>428</v>
      </c>
      <c r="D46" s="182" t="s">
        <v>366</v>
      </c>
      <c r="E46" s="194" t="s">
        <v>342</v>
      </c>
      <c r="F46" s="194" t="s">
        <v>514</v>
      </c>
      <c r="H46" s="182" t="s">
        <v>264</v>
      </c>
      <c r="I46" s="182" t="s">
        <v>239</v>
      </c>
      <c r="J46" s="184" t="s">
        <v>245</v>
      </c>
      <c r="M46" s="270" t="str">
        <f t="shared" si="5"/>
        <v>C.I. Výrobky a zboží</v>
      </c>
      <c r="N46" s="179" t="str">
        <f t="shared" si="7"/>
        <v>045 Poskytnuté zálohy na zásoby</v>
      </c>
      <c r="O46" s="178" t="str">
        <f t="shared" si="4"/>
        <v>Poskytnuté zálohy na zásoby</v>
      </c>
    </row>
    <row r="47" spans="1:15" x14ac:dyDescent="0.2">
      <c r="A47" s="193">
        <v>46</v>
      </c>
      <c r="B47" s="182" t="s">
        <v>849</v>
      </c>
      <c r="C47" s="182" t="s">
        <v>850</v>
      </c>
      <c r="D47" s="182" t="s">
        <v>851</v>
      </c>
      <c r="E47" s="194" t="s">
        <v>342</v>
      </c>
      <c r="F47" s="194" t="s">
        <v>514</v>
      </c>
      <c r="G47" s="268"/>
      <c r="H47" s="267"/>
      <c r="I47" s="267"/>
      <c r="J47" s="269"/>
      <c r="K47" s="269"/>
      <c r="L47" s="269"/>
      <c r="M47" s="270" t="str">
        <f t="shared" si="5"/>
        <v>-</v>
      </c>
      <c r="N47" s="270" t="str">
        <f t="shared" si="7"/>
        <v>-</v>
      </c>
      <c r="O47" s="271" t="str">
        <f t="shared" si="4"/>
        <v>Pohledávky      (ř. 47 + 57)</v>
      </c>
    </row>
    <row r="48" spans="1:15" x14ac:dyDescent="0.2">
      <c r="A48" s="266">
        <v>47</v>
      </c>
      <c r="B48" s="182" t="s">
        <v>681</v>
      </c>
      <c r="C48" s="182" t="s">
        <v>852</v>
      </c>
      <c r="D48" s="182" t="s">
        <v>853</v>
      </c>
      <c r="E48" s="194" t="s">
        <v>342</v>
      </c>
      <c r="F48" s="194" t="s">
        <v>514</v>
      </c>
      <c r="M48" s="270" t="str">
        <f t="shared" si="5"/>
        <v>-</v>
      </c>
      <c r="N48" s="179" t="str">
        <f t="shared" si="7"/>
        <v>-</v>
      </c>
      <c r="O48" s="178" t="str">
        <f t="shared" si="4"/>
        <v>Dlouhodobé pohledávky</v>
      </c>
    </row>
    <row r="49" spans="1:15" x14ac:dyDescent="0.2">
      <c r="A49" s="193">
        <v>48</v>
      </c>
      <c r="B49" s="182" t="s">
        <v>68</v>
      </c>
      <c r="C49" s="182" t="s">
        <v>429</v>
      </c>
      <c r="D49" s="182" t="s">
        <v>367</v>
      </c>
      <c r="E49" s="194" t="s">
        <v>342</v>
      </c>
      <c r="F49" s="194" t="s">
        <v>514</v>
      </c>
      <c r="H49" s="182" t="s">
        <v>264</v>
      </c>
      <c r="I49" s="182" t="s">
        <v>249</v>
      </c>
      <c r="J49" s="184" t="s">
        <v>240</v>
      </c>
      <c r="K49" s="184" t="s">
        <v>240</v>
      </c>
      <c r="M49" s="270" t="str">
        <f t="shared" si="5"/>
        <v>C.II. Dlouhodobé pohledávky</v>
      </c>
      <c r="N49" s="179" t="str">
        <f t="shared" si="7"/>
        <v>048 Pohledávky z obchodních vztahů</v>
      </c>
      <c r="O49" s="178" t="str">
        <f t="shared" si="4"/>
        <v>Pohledávky z obchodních vztahů</v>
      </c>
    </row>
    <row r="50" spans="1:15" x14ac:dyDescent="0.2">
      <c r="A50" s="266">
        <v>49</v>
      </c>
      <c r="B50" s="182" t="s">
        <v>266</v>
      </c>
      <c r="C50" s="182" t="s">
        <v>430</v>
      </c>
      <c r="D50" s="182" t="s">
        <v>368</v>
      </c>
      <c r="E50" s="194" t="s">
        <v>342</v>
      </c>
      <c r="F50" s="194" t="s">
        <v>514</v>
      </c>
      <c r="H50" s="182" t="s">
        <v>264</v>
      </c>
      <c r="I50" s="182" t="s">
        <v>249</v>
      </c>
      <c r="J50" s="184" t="s">
        <v>240</v>
      </c>
      <c r="K50" s="184" t="s">
        <v>241</v>
      </c>
      <c r="M50" s="270" t="str">
        <f t="shared" si="5"/>
        <v>C.II. Dlouhodobé pohledávky</v>
      </c>
      <c r="N50" s="179" t="str">
        <f t="shared" si="7"/>
        <v>049 Pohledávky - ovládaná nebo ovládající osoba</v>
      </c>
      <c r="O50" s="178" t="str">
        <f t="shared" si="4"/>
        <v>Pohledávky - ovládaná nebo ovládající osoba</v>
      </c>
    </row>
    <row r="51" spans="1:15" x14ac:dyDescent="0.2">
      <c r="A51" s="193">
        <v>50</v>
      </c>
      <c r="B51" s="182" t="s">
        <v>88</v>
      </c>
      <c r="C51" s="182" t="s">
        <v>431</v>
      </c>
      <c r="D51" s="182" t="s">
        <v>369</v>
      </c>
      <c r="E51" s="194" t="s">
        <v>342</v>
      </c>
      <c r="F51" s="194" t="s">
        <v>514</v>
      </c>
      <c r="H51" s="182" t="s">
        <v>264</v>
      </c>
      <c r="I51" s="182" t="s">
        <v>249</v>
      </c>
      <c r="J51" s="184" t="s">
        <v>240</v>
      </c>
      <c r="K51" s="184" t="s">
        <v>242</v>
      </c>
      <c r="M51" s="270" t="str">
        <f t="shared" si="5"/>
        <v>C.II. Dlouhodobé pohledávky</v>
      </c>
      <c r="N51" s="179" t="str">
        <f t="shared" si="7"/>
        <v>050 Pohledávky - podstatný vliv</v>
      </c>
      <c r="O51" s="178" t="str">
        <f t="shared" si="4"/>
        <v>Pohledávky - podstatný vliv</v>
      </c>
    </row>
    <row r="52" spans="1:15" x14ac:dyDescent="0.2">
      <c r="A52" s="266">
        <v>51</v>
      </c>
      <c r="B52" s="182" t="s">
        <v>268</v>
      </c>
      <c r="C52" s="182" t="s">
        <v>434</v>
      </c>
      <c r="D52" s="182" t="s">
        <v>372</v>
      </c>
      <c r="E52" s="194" t="s">
        <v>342</v>
      </c>
      <c r="F52" s="194" t="s">
        <v>514</v>
      </c>
      <c r="H52" s="182" t="s">
        <v>264</v>
      </c>
      <c r="I52" s="182" t="s">
        <v>249</v>
      </c>
      <c r="J52" s="184" t="s">
        <v>240</v>
      </c>
      <c r="K52" s="184" t="s">
        <v>243</v>
      </c>
      <c r="M52" s="270" t="str">
        <f t="shared" si="5"/>
        <v>C.II. Dlouhodobé pohledávky</v>
      </c>
      <c r="N52" s="179" t="str">
        <f t="shared" si="7"/>
        <v>051 Odložená daňová pohledávka</v>
      </c>
      <c r="O52" s="178" t="str">
        <f t="shared" si="4"/>
        <v>Odložená daňová pohledávka</v>
      </c>
    </row>
    <row r="53" spans="1:15" x14ac:dyDescent="0.2">
      <c r="A53" s="193">
        <v>52</v>
      </c>
      <c r="B53" s="182" t="s">
        <v>676</v>
      </c>
      <c r="C53" s="182" t="s">
        <v>854</v>
      </c>
      <c r="D53" s="182" t="s">
        <v>855</v>
      </c>
      <c r="E53" s="194" t="s">
        <v>342</v>
      </c>
      <c r="F53" s="194" t="s">
        <v>514</v>
      </c>
      <c r="G53" s="268"/>
      <c r="H53" s="267"/>
      <c r="I53" s="267"/>
      <c r="J53" s="269"/>
      <c r="K53" s="269"/>
      <c r="L53" s="269"/>
      <c r="M53" s="270" t="str">
        <f t="shared" si="5"/>
        <v>-</v>
      </c>
      <c r="N53" s="270" t="str">
        <f t="shared" si="7"/>
        <v>-</v>
      </c>
      <c r="O53" s="271" t="str">
        <f t="shared" si="4"/>
        <v>Pohledávky - ostatní</v>
      </c>
    </row>
    <row r="54" spans="1:15" x14ac:dyDescent="0.2">
      <c r="A54" s="266">
        <v>53</v>
      </c>
      <c r="B54" s="182" t="s">
        <v>618</v>
      </c>
      <c r="C54" s="182" t="s">
        <v>619</v>
      </c>
      <c r="D54" s="182" t="s">
        <v>620</v>
      </c>
      <c r="E54" s="194" t="s">
        <v>342</v>
      </c>
      <c r="F54" s="194" t="s">
        <v>514</v>
      </c>
      <c r="H54" s="182" t="s">
        <v>264</v>
      </c>
      <c r="I54" s="182" t="s">
        <v>249</v>
      </c>
      <c r="J54" s="184" t="s">
        <v>240</v>
      </c>
      <c r="K54" s="184" t="s">
        <v>244</v>
      </c>
      <c r="L54" s="184" t="s">
        <v>240</v>
      </c>
      <c r="M54" s="270" t="str">
        <f>IF(AND(H54=0,I54=0,J54=0),"-",IF(A54=2,CONCATENATE(H54,I54," ",B54),IF(ISBLANK(H52),CONCATENATE(H54,I54," ",B52),M52)))</f>
        <v>C.II. Dlouhodobé pohledávky</v>
      </c>
      <c r="N54" s="179" t="str">
        <f t="shared" si="7"/>
        <v>053 Pohledávky za společníky</v>
      </c>
      <c r="O54" s="178" t="str">
        <f t="shared" si="4"/>
        <v>Pohledávky za společníky</v>
      </c>
    </row>
    <row r="55" spans="1:15" x14ac:dyDescent="0.2">
      <c r="A55" s="193">
        <v>54</v>
      </c>
      <c r="B55" s="182" t="s">
        <v>267</v>
      </c>
      <c r="C55" s="182" t="s">
        <v>432</v>
      </c>
      <c r="D55" s="182" t="s">
        <v>370</v>
      </c>
      <c r="E55" s="194" t="s">
        <v>342</v>
      </c>
      <c r="F55" s="194" t="s">
        <v>514</v>
      </c>
      <c r="H55" s="182" t="s">
        <v>264</v>
      </c>
      <c r="I55" s="182" t="s">
        <v>249</v>
      </c>
      <c r="J55" s="184" t="s">
        <v>240</v>
      </c>
      <c r="K55" s="184" t="s">
        <v>244</v>
      </c>
      <c r="L55" s="184" t="s">
        <v>241</v>
      </c>
      <c r="M55" s="270" t="str">
        <f>IF(AND(H55=0,I55=0,J55=0),"-",IF(A55=2,CONCATENATE(H55,I55," ",B55),IF(ISBLANK(H54),CONCATENATE(H55,I55," ",B54),M54)))</f>
        <v>C.II. Dlouhodobé pohledávky</v>
      </c>
      <c r="N55" s="179" t="str">
        <f t="shared" si="7"/>
        <v>054 Dlouhodobé poskytnuté zálohy</v>
      </c>
      <c r="O55" s="178" t="str">
        <f t="shared" si="4"/>
        <v>Dlouhodobé poskytnuté zálohy</v>
      </c>
    </row>
    <row r="56" spans="1:15" x14ac:dyDescent="0.2">
      <c r="A56" s="266">
        <v>55</v>
      </c>
      <c r="B56" s="182" t="s">
        <v>113</v>
      </c>
      <c r="C56" s="182" t="s">
        <v>433</v>
      </c>
      <c r="D56" s="182" t="s">
        <v>371</v>
      </c>
      <c r="E56" s="194" t="s">
        <v>342</v>
      </c>
      <c r="F56" s="194" t="s">
        <v>514</v>
      </c>
      <c r="H56" s="182" t="s">
        <v>264</v>
      </c>
      <c r="I56" s="182" t="s">
        <v>249</v>
      </c>
      <c r="J56" s="184" t="s">
        <v>240</v>
      </c>
      <c r="K56" s="184" t="s">
        <v>244</v>
      </c>
      <c r="L56" s="184" t="s">
        <v>242</v>
      </c>
      <c r="M56" s="270" t="str">
        <f>IF(AND(H56=0,I56=0,J56=0),"-",IF(A56=2,CONCATENATE(H56,I56," ",B56),IF(ISBLANK(H55),CONCATENATE(H56,I56," ",B55),M55)))</f>
        <v>C.II. Dlouhodobé pohledávky</v>
      </c>
      <c r="N56" s="179" t="str">
        <f t="shared" si="7"/>
        <v>055 Dohadné účty aktivní</v>
      </c>
      <c r="O56" s="178" t="str">
        <f t="shared" si="4"/>
        <v>Dohadné účty aktivní</v>
      </c>
    </row>
    <row r="57" spans="1:15" x14ac:dyDescent="0.2">
      <c r="A57" s="193">
        <v>56</v>
      </c>
      <c r="B57" s="182" t="s">
        <v>106</v>
      </c>
      <c r="C57" s="182" t="s">
        <v>856</v>
      </c>
      <c r="D57" s="182" t="s">
        <v>857</v>
      </c>
      <c r="E57" s="194" t="s">
        <v>342</v>
      </c>
      <c r="F57" s="194" t="s">
        <v>514</v>
      </c>
      <c r="H57" s="182" t="s">
        <v>264</v>
      </c>
      <c r="I57" s="182" t="s">
        <v>249</v>
      </c>
      <c r="J57" s="184" t="s">
        <v>240</v>
      </c>
      <c r="K57" s="184" t="s">
        <v>244</v>
      </c>
      <c r="L57" s="184" t="s">
        <v>243</v>
      </c>
      <c r="M57" s="270" t="str">
        <f>IF(AND(H57=0,I57=0,J57=0),"-",IF(A57=2,CONCATENATE(H57,I57," ",B57),IF(ISBLANK(H56),CONCATENATE(H57,I57," ",B56),M56)))</f>
        <v>C.II. Dlouhodobé pohledávky</v>
      </c>
      <c r="N57" s="179" t="str">
        <f t="shared" si="7"/>
        <v>056 Jiné pohledávky</v>
      </c>
      <c r="O57" s="178" t="str">
        <f t="shared" si="4"/>
        <v>Jiné pohledávky</v>
      </c>
    </row>
    <row r="58" spans="1:15" x14ac:dyDescent="0.2">
      <c r="A58" s="193">
        <v>57</v>
      </c>
      <c r="B58" s="182" t="s">
        <v>682</v>
      </c>
      <c r="C58" s="182" t="s">
        <v>858</v>
      </c>
      <c r="D58" s="182" t="s">
        <v>859</v>
      </c>
      <c r="E58" s="194" t="s">
        <v>342</v>
      </c>
      <c r="F58" s="194" t="s">
        <v>514</v>
      </c>
      <c r="M58" s="270" t="str">
        <f>IF(AND(H58=0,I58=0,J58=0),"-",IF(A58=2,CONCATENATE(H58,I58," ",B58),IF(ISBLANK(H57),CONCATENATE(H58,I58," ",B57),M57)))</f>
        <v>-</v>
      </c>
      <c r="N58" s="179" t="str">
        <f t="shared" si="7"/>
        <v>-</v>
      </c>
      <c r="O58" s="178" t="str">
        <f t="shared" si="4"/>
        <v>Krátkodobé pohledávky</v>
      </c>
    </row>
    <row r="59" spans="1:15" x14ac:dyDescent="0.2">
      <c r="A59" s="193">
        <v>58</v>
      </c>
      <c r="B59" s="182" t="s">
        <v>68</v>
      </c>
      <c r="C59" s="182" t="s">
        <v>429</v>
      </c>
      <c r="D59" s="182" t="s">
        <v>367</v>
      </c>
      <c r="E59" s="194" t="s">
        <v>342</v>
      </c>
      <c r="F59" s="194" t="s">
        <v>514</v>
      </c>
      <c r="H59" s="182" t="s">
        <v>264</v>
      </c>
      <c r="I59" s="182" t="s">
        <v>249</v>
      </c>
      <c r="J59" s="184" t="s">
        <v>241</v>
      </c>
      <c r="K59" s="184" t="s">
        <v>240</v>
      </c>
      <c r="M59" s="270" t="str">
        <f>IF(AND(H59=0,I59=0,J59=0),"-",IF(A59=2,CONCATENATE(H59,I59," ",B59),IF(ISBLANK(H58),CONCATENATE(H59,I59," ",B58),M58)))</f>
        <v>C.II. Krátkodobé pohledávky</v>
      </c>
      <c r="N59" s="179" t="str">
        <f t="shared" si="7"/>
        <v>058 Pohledávky z obchodních vztahů</v>
      </c>
      <c r="O59" s="178" t="str">
        <f t="shared" si="4"/>
        <v>Pohledávky z obchodních vztahů</v>
      </c>
    </row>
    <row r="60" spans="1:15" x14ac:dyDescent="0.2">
      <c r="A60" s="193">
        <v>59</v>
      </c>
      <c r="B60" s="182" t="s">
        <v>266</v>
      </c>
      <c r="C60" s="182" t="s">
        <v>430</v>
      </c>
      <c r="D60" s="182" t="s">
        <v>368</v>
      </c>
      <c r="E60" s="194" t="s">
        <v>342</v>
      </c>
      <c r="F60" s="194" t="s">
        <v>514</v>
      </c>
      <c r="H60" s="182" t="s">
        <v>264</v>
      </c>
      <c r="I60" s="182" t="s">
        <v>249</v>
      </c>
      <c r="J60" s="184" t="s">
        <v>241</v>
      </c>
      <c r="K60" s="184" t="s">
        <v>241</v>
      </c>
      <c r="M60" s="270" t="str">
        <f t="shared" ref="M60:M133" si="8">IF(AND(H60=0,I60=0,J60=0),"-",IF(A60=2,CONCATENATE(H60,I60," ",B60),IF(ISBLANK(H59),CONCATENATE(H60,I60," ",B59),M59)))</f>
        <v>C.II. Krátkodobé pohledávky</v>
      </c>
      <c r="N60" s="179" t="str">
        <f t="shared" si="7"/>
        <v>059 Pohledávky - ovládaná nebo ovládající osoba</v>
      </c>
      <c r="O60" s="178" t="str">
        <f t="shared" si="4"/>
        <v>Pohledávky - ovládaná nebo ovládající osoba</v>
      </c>
    </row>
    <row r="61" spans="1:15" x14ac:dyDescent="0.2">
      <c r="A61" s="193">
        <v>60</v>
      </c>
      <c r="B61" s="182" t="s">
        <v>88</v>
      </c>
      <c r="C61" s="182" t="s">
        <v>431</v>
      </c>
      <c r="D61" s="182" t="s">
        <v>369</v>
      </c>
      <c r="E61" s="194" t="s">
        <v>342</v>
      </c>
      <c r="F61" s="194" t="s">
        <v>514</v>
      </c>
      <c r="H61" s="182" t="s">
        <v>264</v>
      </c>
      <c r="I61" s="182" t="s">
        <v>249</v>
      </c>
      <c r="J61" s="184" t="s">
        <v>241</v>
      </c>
      <c r="K61" s="184" t="s">
        <v>242</v>
      </c>
      <c r="M61" s="270" t="str">
        <f t="shared" si="8"/>
        <v>C.II. Krátkodobé pohledávky</v>
      </c>
      <c r="N61" s="179" t="str">
        <f t="shared" si="7"/>
        <v>060 Pohledávky - podstatný vliv</v>
      </c>
      <c r="O61" s="178" t="str">
        <f t="shared" si="4"/>
        <v>Pohledávky - podstatný vliv</v>
      </c>
    </row>
    <row r="62" spans="1:15" x14ac:dyDescent="0.2">
      <c r="A62" s="193">
        <v>61</v>
      </c>
      <c r="B62" s="182" t="s">
        <v>676</v>
      </c>
      <c r="C62" s="182" t="s">
        <v>860</v>
      </c>
      <c r="D62" s="182" t="s">
        <v>855</v>
      </c>
      <c r="E62" s="194" t="s">
        <v>342</v>
      </c>
      <c r="F62" s="194" t="s">
        <v>514</v>
      </c>
      <c r="H62" s="182" t="s">
        <v>264</v>
      </c>
      <c r="I62" s="182" t="s">
        <v>249</v>
      </c>
      <c r="J62" s="184" t="s">
        <v>241</v>
      </c>
      <c r="K62" s="184" t="s">
        <v>243</v>
      </c>
      <c r="M62" s="270" t="str">
        <f t="shared" si="8"/>
        <v>C.II. Krátkodobé pohledávky</v>
      </c>
      <c r="N62" s="179" t="str">
        <f t="shared" si="7"/>
        <v>061 Pohledávky - ostatní</v>
      </c>
      <c r="O62" s="178" t="str">
        <f t="shared" si="4"/>
        <v>Pohledávky - ostatní</v>
      </c>
    </row>
    <row r="63" spans="1:15" x14ac:dyDescent="0.2">
      <c r="A63" s="193">
        <v>62</v>
      </c>
      <c r="B63" s="182" t="s">
        <v>618</v>
      </c>
      <c r="C63" s="182" t="s">
        <v>619</v>
      </c>
      <c r="D63" s="182" t="s">
        <v>620</v>
      </c>
      <c r="E63" s="194" t="s">
        <v>342</v>
      </c>
      <c r="F63" s="194" t="s">
        <v>514</v>
      </c>
      <c r="H63" s="182" t="s">
        <v>264</v>
      </c>
      <c r="I63" s="182" t="s">
        <v>249</v>
      </c>
      <c r="J63" s="184" t="s">
        <v>241</v>
      </c>
      <c r="K63" s="184" t="s">
        <v>243</v>
      </c>
      <c r="L63" s="184" t="s">
        <v>240</v>
      </c>
      <c r="M63" s="270" t="str">
        <f t="shared" si="8"/>
        <v>C.II. Krátkodobé pohledávky</v>
      </c>
      <c r="N63" s="179" t="str">
        <f t="shared" si="7"/>
        <v>062 Pohledávky za společníky</v>
      </c>
      <c r="O63" s="178" t="str">
        <f t="shared" si="4"/>
        <v>Pohledávky za společníky</v>
      </c>
    </row>
    <row r="64" spans="1:15" x14ac:dyDescent="0.2">
      <c r="A64" s="193">
        <v>63</v>
      </c>
      <c r="B64" s="182" t="s">
        <v>269</v>
      </c>
      <c r="C64" s="182" t="s">
        <v>435</v>
      </c>
      <c r="D64" s="182" t="s">
        <v>373</v>
      </c>
      <c r="E64" s="194" t="s">
        <v>342</v>
      </c>
      <c r="F64" s="194" t="s">
        <v>514</v>
      </c>
      <c r="H64" s="182" t="s">
        <v>264</v>
      </c>
      <c r="I64" s="182" t="s">
        <v>249</v>
      </c>
      <c r="J64" s="184" t="s">
        <v>241</v>
      </c>
      <c r="K64" s="184" t="s">
        <v>243</v>
      </c>
      <c r="L64" s="184" t="s">
        <v>241</v>
      </c>
      <c r="M64" s="270" t="str">
        <f t="shared" si="8"/>
        <v>C.II. Krátkodobé pohledávky</v>
      </c>
      <c r="N64" s="179" t="str">
        <f t="shared" si="7"/>
        <v>063 Sociální zabezpečení a zdravotní pojištění</v>
      </c>
      <c r="O64" s="178" t="str">
        <f t="shared" si="4"/>
        <v>Sociální zabezpečení a zdravotní pojištění</v>
      </c>
    </row>
    <row r="65" spans="1:15" x14ac:dyDescent="0.2">
      <c r="A65" s="193">
        <v>64</v>
      </c>
      <c r="B65" s="182" t="s">
        <v>270</v>
      </c>
      <c r="C65" s="182" t="s">
        <v>436</v>
      </c>
      <c r="D65" s="182" t="s">
        <v>374</v>
      </c>
      <c r="E65" s="194" t="s">
        <v>342</v>
      </c>
      <c r="F65" s="194" t="s">
        <v>514</v>
      </c>
      <c r="H65" s="182" t="s">
        <v>264</v>
      </c>
      <c r="I65" s="182" t="s">
        <v>249</v>
      </c>
      <c r="J65" s="184" t="s">
        <v>241</v>
      </c>
      <c r="K65" s="184" t="s">
        <v>243</v>
      </c>
      <c r="L65" s="184" t="s">
        <v>242</v>
      </c>
      <c r="M65" s="270" t="str">
        <f t="shared" si="8"/>
        <v>C.II. Krátkodobé pohledávky</v>
      </c>
      <c r="N65" s="179" t="str">
        <f t="shared" si="7"/>
        <v>064 Stát - daňové pohledávky</v>
      </c>
      <c r="O65" s="178" t="str">
        <f t="shared" si="4"/>
        <v>Stát - daňové pohledávky</v>
      </c>
    </row>
    <row r="66" spans="1:15" x14ac:dyDescent="0.2">
      <c r="A66" s="193">
        <v>65</v>
      </c>
      <c r="B66" s="182" t="s">
        <v>271</v>
      </c>
      <c r="C66" s="182" t="s">
        <v>437</v>
      </c>
      <c r="D66" s="182" t="s">
        <v>375</v>
      </c>
      <c r="E66" s="194" t="s">
        <v>342</v>
      </c>
      <c r="F66" s="194" t="s">
        <v>514</v>
      </c>
      <c r="H66" s="182" t="s">
        <v>264</v>
      </c>
      <c r="I66" s="182" t="s">
        <v>249</v>
      </c>
      <c r="J66" s="184" t="s">
        <v>241</v>
      </c>
      <c r="K66" s="184" t="s">
        <v>243</v>
      </c>
      <c r="L66" s="184" t="s">
        <v>243</v>
      </c>
      <c r="M66" s="270" t="str">
        <f t="shared" si="8"/>
        <v>C.II. Krátkodobé pohledávky</v>
      </c>
      <c r="N66" s="179" t="str">
        <f t="shared" si="7"/>
        <v>065 Krátkodobé poskytnuté zálohy</v>
      </c>
      <c r="O66" s="178" t="str">
        <f t="shared" ref="O66:O76" si="9">IF(jazyk="česky",B66,IF(jazyk="anglicky",C66,IF(jazyk="německy",D66,"-")))</f>
        <v>Krátkodobé poskytnuté zálohy</v>
      </c>
    </row>
    <row r="67" spans="1:15" x14ac:dyDescent="0.2">
      <c r="A67" s="193">
        <v>66</v>
      </c>
      <c r="B67" s="182" t="s">
        <v>113</v>
      </c>
      <c r="C67" s="182" t="s">
        <v>433</v>
      </c>
      <c r="D67" s="182" t="s">
        <v>371</v>
      </c>
      <c r="E67" s="194" t="s">
        <v>342</v>
      </c>
      <c r="F67" s="194" t="s">
        <v>514</v>
      </c>
      <c r="H67" s="182" t="s">
        <v>264</v>
      </c>
      <c r="I67" s="182" t="s">
        <v>249</v>
      </c>
      <c r="J67" s="184" t="s">
        <v>241</v>
      </c>
      <c r="K67" s="184" t="s">
        <v>243</v>
      </c>
      <c r="L67" s="184" t="s">
        <v>244</v>
      </c>
      <c r="M67" s="270" t="str">
        <f t="shared" si="8"/>
        <v>C.II. Krátkodobé pohledávky</v>
      </c>
      <c r="N67" s="179" t="str">
        <f t="shared" si="7"/>
        <v>066 Dohadné účty aktivní</v>
      </c>
      <c r="O67" s="178" t="str">
        <f t="shared" si="9"/>
        <v>Dohadné účty aktivní</v>
      </c>
    </row>
    <row r="68" spans="1:15" x14ac:dyDescent="0.2">
      <c r="A68" s="193">
        <v>67</v>
      </c>
      <c r="B68" s="182" t="s">
        <v>106</v>
      </c>
      <c r="C68" s="182" t="s">
        <v>856</v>
      </c>
      <c r="D68" s="182" t="s">
        <v>857</v>
      </c>
      <c r="E68" s="194" t="s">
        <v>342</v>
      </c>
      <c r="F68" s="194" t="s">
        <v>514</v>
      </c>
      <c r="G68" s="268"/>
      <c r="H68" s="182" t="s">
        <v>264</v>
      </c>
      <c r="I68" s="182" t="s">
        <v>249</v>
      </c>
      <c r="J68" s="184" t="s">
        <v>241</v>
      </c>
      <c r="K68" s="184" t="s">
        <v>243</v>
      </c>
      <c r="L68" s="269" t="s">
        <v>245</v>
      </c>
      <c r="M68" s="270" t="str">
        <f t="shared" si="8"/>
        <v>C.II. Krátkodobé pohledávky</v>
      </c>
      <c r="N68" s="270" t="str">
        <f t="shared" si="7"/>
        <v>067 Jiné pohledávky</v>
      </c>
      <c r="O68" s="271" t="str">
        <f t="shared" si="9"/>
        <v>Jiné pohledávky</v>
      </c>
    </row>
    <row r="69" spans="1:15" x14ac:dyDescent="0.2">
      <c r="A69" s="193">
        <v>68</v>
      </c>
      <c r="B69" s="182" t="s">
        <v>861</v>
      </c>
      <c r="C69" s="182" t="s">
        <v>862</v>
      </c>
      <c r="D69" s="182" t="s">
        <v>863</v>
      </c>
      <c r="E69" s="194" t="s">
        <v>342</v>
      </c>
      <c r="F69" s="194" t="s">
        <v>514</v>
      </c>
      <c r="M69" s="270" t="str">
        <f t="shared" si="8"/>
        <v>-</v>
      </c>
      <c r="N69" s="179" t="str">
        <f t="shared" si="7"/>
        <v>-</v>
      </c>
      <c r="O69" s="178" t="str">
        <f t="shared" si="9"/>
        <v>Krátkodobý finanční majetek      (ř. 69 až 70)</v>
      </c>
    </row>
    <row r="70" spans="1:15" x14ac:dyDescent="0.2">
      <c r="A70" s="193">
        <v>69</v>
      </c>
      <c r="B70" s="182" t="s">
        <v>661</v>
      </c>
      <c r="C70" s="182" t="s">
        <v>420</v>
      </c>
      <c r="D70" s="182" t="s">
        <v>358</v>
      </c>
      <c r="E70" s="194" t="s">
        <v>342</v>
      </c>
      <c r="F70" s="194" t="s">
        <v>514</v>
      </c>
      <c r="G70" s="268"/>
      <c r="H70" s="267" t="s">
        <v>264</v>
      </c>
      <c r="I70" s="267" t="s">
        <v>254</v>
      </c>
      <c r="J70" s="269" t="s">
        <v>240</v>
      </c>
      <c r="K70" s="269"/>
      <c r="L70" s="269"/>
      <c r="M70" s="270" t="str">
        <f t="shared" si="8"/>
        <v>C.III. Krátkodobý finanční majetek      (ř. 69 až 70)</v>
      </c>
      <c r="N70" s="270" t="str">
        <f t="shared" ref="N70:N71" si="10">IF(ISBLANK(H70),"-",CONCATENATE(TEXT(A70,"000")," ",B70))</f>
        <v>069 Podíly - ovládaná nebo ovládající osoba</v>
      </c>
      <c r="O70" s="271" t="str">
        <f t="shared" si="9"/>
        <v>Podíly - ovládaná nebo ovládající osoba</v>
      </c>
    </row>
    <row r="71" spans="1:15" x14ac:dyDescent="0.2">
      <c r="A71" s="193">
        <v>70</v>
      </c>
      <c r="B71" s="182" t="s">
        <v>677</v>
      </c>
      <c r="C71" s="182" t="s">
        <v>678</v>
      </c>
      <c r="D71" s="182" t="s">
        <v>864</v>
      </c>
      <c r="E71" s="194" t="s">
        <v>342</v>
      </c>
      <c r="F71" s="194" t="s">
        <v>514</v>
      </c>
      <c r="G71" s="268"/>
      <c r="H71" s="267" t="s">
        <v>264</v>
      </c>
      <c r="I71" s="267" t="s">
        <v>254</v>
      </c>
      <c r="J71" s="269" t="s">
        <v>241</v>
      </c>
      <c r="K71" s="269"/>
      <c r="L71" s="269"/>
      <c r="M71" s="270" t="str">
        <f t="shared" si="8"/>
        <v>C.III. Krátkodobý finanční majetek      (ř. 69 až 70)</v>
      </c>
      <c r="N71" s="270" t="str">
        <f t="shared" si="10"/>
        <v>070 Ostatní krátkodobý finanční majetek</v>
      </c>
      <c r="O71" s="271" t="str">
        <f t="shared" si="9"/>
        <v>Ostatní krátkodobý finanční majetek</v>
      </c>
    </row>
    <row r="72" spans="1:15" x14ac:dyDescent="0.2">
      <c r="A72" s="193">
        <v>71</v>
      </c>
      <c r="B72" s="182" t="s">
        <v>865</v>
      </c>
      <c r="C72" s="182" t="s">
        <v>866</v>
      </c>
      <c r="D72" s="182" t="s">
        <v>867</v>
      </c>
      <c r="E72" s="194" t="s">
        <v>342</v>
      </c>
      <c r="F72" s="194" t="s">
        <v>514</v>
      </c>
      <c r="G72" s="268"/>
      <c r="H72" s="267"/>
      <c r="I72" s="267"/>
      <c r="J72" s="269"/>
      <c r="K72" s="269"/>
      <c r="L72" s="269"/>
      <c r="M72" s="270" t="str">
        <f t="shared" si="8"/>
        <v>-</v>
      </c>
      <c r="N72" s="270" t="str">
        <f t="shared" ref="N72:N73" si="11">IF(ISBLANK(H72),"-",CONCATENATE(TEXT(A72,"000")," ",B72))</f>
        <v>-</v>
      </c>
      <c r="O72" s="271" t="str">
        <f t="shared" si="9"/>
        <v>Peněžní prostředky      (ř. 72 až 73)</v>
      </c>
    </row>
    <row r="73" spans="1:15" x14ac:dyDescent="0.2">
      <c r="A73" s="193">
        <v>72</v>
      </c>
      <c r="B73" s="182" t="s">
        <v>679</v>
      </c>
      <c r="C73" s="182" t="s">
        <v>438</v>
      </c>
      <c r="D73" s="182" t="s">
        <v>868</v>
      </c>
      <c r="E73" s="194" t="s">
        <v>342</v>
      </c>
      <c r="F73" s="194" t="s">
        <v>514</v>
      </c>
      <c r="G73" s="268"/>
      <c r="H73" s="182" t="s">
        <v>264</v>
      </c>
      <c r="I73" s="182" t="s">
        <v>272</v>
      </c>
      <c r="J73" s="184" t="s">
        <v>240</v>
      </c>
      <c r="K73" s="269"/>
      <c r="L73" s="269"/>
      <c r="M73" s="270" t="str">
        <f t="shared" si="8"/>
        <v>C.IV. Peněžní prostředky      (ř. 72 až 73)</v>
      </c>
      <c r="N73" s="270" t="str">
        <f t="shared" si="11"/>
        <v>072 Peněžní prostředky v pokladně</v>
      </c>
      <c r="O73" s="271" t="str">
        <f t="shared" si="9"/>
        <v>Peněžní prostředky v pokladně</v>
      </c>
    </row>
    <row r="74" spans="1:15" x14ac:dyDescent="0.2">
      <c r="A74" s="193">
        <v>73</v>
      </c>
      <c r="B74" s="182" t="s">
        <v>680</v>
      </c>
      <c r="C74" s="182" t="s">
        <v>439</v>
      </c>
      <c r="D74" s="182" t="s">
        <v>869</v>
      </c>
      <c r="E74" s="194" t="s">
        <v>342</v>
      </c>
      <c r="F74" s="194" t="s">
        <v>514</v>
      </c>
      <c r="H74" s="182" t="s">
        <v>264</v>
      </c>
      <c r="I74" s="182" t="s">
        <v>272</v>
      </c>
      <c r="J74" s="184" t="s">
        <v>241</v>
      </c>
      <c r="M74" s="270" t="str">
        <f t="shared" si="8"/>
        <v>C.IV. Peněžní prostředky      (ř. 72 až 73)</v>
      </c>
      <c r="N74" s="179" t="str">
        <f>IF(ISBLANK(H74),"-",CONCATENATE(TEXT(A74,"000")," ",B74))</f>
        <v>073 Peněžní prostředky na účtech</v>
      </c>
      <c r="O74" s="178" t="str">
        <f t="shared" si="9"/>
        <v>Peněžní prostředky na účtech</v>
      </c>
    </row>
    <row r="75" spans="1:15" x14ac:dyDescent="0.2">
      <c r="A75" s="193">
        <v>74</v>
      </c>
      <c r="B75" s="182" t="s">
        <v>870</v>
      </c>
      <c r="C75" s="182" t="s">
        <v>871</v>
      </c>
      <c r="D75" s="182" t="s">
        <v>872</v>
      </c>
      <c r="E75" s="194" t="s">
        <v>342</v>
      </c>
      <c r="F75" s="194" t="s">
        <v>514</v>
      </c>
      <c r="M75" s="270" t="str">
        <f t="shared" si="8"/>
        <v>-</v>
      </c>
      <c r="N75" s="179" t="str">
        <f>IF(ISBLANK(H75),"-",CONCATENATE(TEXT(A75,"000")," ",B75))</f>
        <v>-</v>
      </c>
      <c r="O75" s="178" t="str">
        <f t="shared" si="9"/>
        <v>Časové rozlišení aktiv      (ř. 75 až 77)</v>
      </c>
    </row>
    <row r="76" spans="1:15" x14ac:dyDescent="0.2">
      <c r="A76" s="193">
        <v>75</v>
      </c>
      <c r="B76" s="182" t="s">
        <v>274</v>
      </c>
      <c r="C76" s="182" t="s">
        <v>440</v>
      </c>
      <c r="D76" s="182" t="s">
        <v>376</v>
      </c>
      <c r="E76" s="194" t="s">
        <v>342</v>
      </c>
      <c r="F76" s="194" t="s">
        <v>514</v>
      </c>
      <c r="H76" s="182" t="s">
        <v>273</v>
      </c>
      <c r="I76" s="184" t="s">
        <v>240</v>
      </c>
      <c r="M76" s="270" t="str">
        <f t="shared" si="8"/>
        <v>D.1. Časové rozlišení aktiv      (ř. 75 až 77)</v>
      </c>
      <c r="N76" s="179" t="str">
        <f>IF(ISBLANK(H76),"-",CONCATENATE(TEXT(A76,"000")," ",B76))</f>
        <v xml:space="preserve">075 Náklady příštích období </v>
      </c>
      <c r="O76" s="178" t="str">
        <f t="shared" si="9"/>
        <v xml:space="preserve">Náklady příštích období </v>
      </c>
    </row>
    <row r="77" spans="1:15" x14ac:dyDescent="0.2">
      <c r="A77" s="193">
        <v>76</v>
      </c>
      <c r="B77" s="182" t="s">
        <v>109</v>
      </c>
      <c r="C77" s="182" t="s">
        <v>441</v>
      </c>
      <c r="D77" s="182" t="s">
        <v>377</v>
      </c>
      <c r="E77" s="194" t="s">
        <v>342</v>
      </c>
      <c r="F77" s="194" t="s">
        <v>514</v>
      </c>
      <c r="H77" s="182" t="s">
        <v>273</v>
      </c>
      <c r="I77" s="184" t="s">
        <v>241</v>
      </c>
      <c r="M77" s="270" t="str">
        <f t="shared" si="8"/>
        <v>D.1. Časové rozlišení aktiv      (ř. 75 až 77)</v>
      </c>
      <c r="N77" s="179" t="str">
        <f>IF(ISBLANK(H77),"-",CONCATENATE(TEXT(A77,"000")," ",B77))</f>
        <v>076 Komplexní náklady příštích období</v>
      </c>
      <c r="O77" s="178" t="str">
        <f t="shared" ref="O77:O99" si="12">IF(jazyk="česky",B77,IF(jazyk="anglicky",C77,IF(jazyk="německy",D77,"-")))</f>
        <v>Komplexní náklady příštích období</v>
      </c>
    </row>
    <row r="78" spans="1:15" x14ac:dyDescent="0.2">
      <c r="A78" s="193">
        <v>77</v>
      </c>
      <c r="B78" s="182" t="s">
        <v>112</v>
      </c>
      <c r="C78" s="182" t="s">
        <v>442</v>
      </c>
      <c r="D78" s="182" t="s">
        <v>378</v>
      </c>
      <c r="E78" s="194" t="s">
        <v>342</v>
      </c>
      <c r="F78" s="194" t="s">
        <v>514</v>
      </c>
      <c r="H78" s="182" t="s">
        <v>273</v>
      </c>
      <c r="I78" s="184" t="s">
        <v>242</v>
      </c>
      <c r="M78" s="270" t="str">
        <f t="shared" si="8"/>
        <v>D.1. Časové rozlišení aktiv      (ř. 75 až 77)</v>
      </c>
      <c r="N78" s="179" t="str">
        <f t="shared" ref="N78:N144" si="13">IF(ISBLANK(H78),"-",CONCATENATE(TEXT(A78,"000")," ",B78))</f>
        <v>077 Příjmy příštích období</v>
      </c>
      <c r="O78" s="178" t="str">
        <f t="shared" si="12"/>
        <v>Příjmy příštích období</v>
      </c>
    </row>
    <row r="79" spans="1:15" x14ac:dyDescent="0.2">
      <c r="A79" s="266">
        <v>78</v>
      </c>
      <c r="B79" s="182" t="s">
        <v>873</v>
      </c>
      <c r="C79" s="182" t="s">
        <v>874</v>
      </c>
      <c r="D79" s="182" t="s">
        <v>875</v>
      </c>
      <c r="E79" s="194" t="s">
        <v>342</v>
      </c>
      <c r="F79" s="194" t="s">
        <v>515</v>
      </c>
      <c r="M79" s="270" t="str">
        <f t="shared" si="8"/>
        <v>-</v>
      </c>
      <c r="N79" s="179" t="str">
        <f t="shared" si="13"/>
        <v>-</v>
      </c>
      <c r="O79" s="178" t="str">
        <f t="shared" si="12"/>
        <v>PASIVA CELKEM      (ř. 79 + 101 + 141)</v>
      </c>
    </row>
    <row r="80" spans="1:15" x14ac:dyDescent="0.2">
      <c r="A80" s="193">
        <v>79</v>
      </c>
      <c r="B80" s="182" t="s">
        <v>876</v>
      </c>
      <c r="C80" s="182" t="s">
        <v>877</v>
      </c>
      <c r="D80" s="182" t="s">
        <v>878</v>
      </c>
      <c r="E80" s="194" t="s">
        <v>342</v>
      </c>
      <c r="F80" s="194" t="s">
        <v>515</v>
      </c>
      <c r="M80" s="270" t="str">
        <f t="shared" si="8"/>
        <v>-</v>
      </c>
      <c r="N80" s="179" t="str">
        <f t="shared" si="13"/>
        <v>-</v>
      </c>
      <c r="O80" s="178" t="str">
        <f t="shared" si="12"/>
        <v>Vlastní kapitál      (ř. 80 + 84 + 92 + 95 + 99 + 100)</v>
      </c>
    </row>
    <row r="81" spans="1:15" x14ac:dyDescent="0.2">
      <c r="A81" s="266">
        <v>80</v>
      </c>
      <c r="B81" s="182" t="s">
        <v>879</v>
      </c>
      <c r="C81" s="182" t="s">
        <v>880</v>
      </c>
      <c r="D81" s="182" t="s">
        <v>881</v>
      </c>
      <c r="E81" s="194" t="s">
        <v>342</v>
      </c>
      <c r="F81" s="194" t="s">
        <v>515</v>
      </c>
      <c r="M81" s="270" t="str">
        <f t="shared" si="8"/>
        <v>-</v>
      </c>
      <c r="N81" s="179" t="str">
        <f t="shared" si="13"/>
        <v>-</v>
      </c>
      <c r="O81" s="178" t="str">
        <f t="shared" si="12"/>
        <v>Základní kapitál      (ř. 81 až 83)</v>
      </c>
    </row>
    <row r="82" spans="1:15" x14ac:dyDescent="0.2">
      <c r="A82" s="193">
        <v>81</v>
      </c>
      <c r="B82" s="182" t="s">
        <v>118</v>
      </c>
      <c r="C82" s="182" t="s">
        <v>443</v>
      </c>
      <c r="D82" s="182" t="s">
        <v>379</v>
      </c>
      <c r="E82" s="194" t="s">
        <v>342</v>
      </c>
      <c r="F82" s="194" t="s">
        <v>515</v>
      </c>
      <c r="H82" s="182" t="s">
        <v>237</v>
      </c>
      <c r="I82" s="182" t="s">
        <v>239</v>
      </c>
      <c r="J82" s="184" t="s">
        <v>240</v>
      </c>
      <c r="M82" s="270" t="str">
        <f t="shared" si="8"/>
        <v>A.I. Základní kapitál      (ř. 81 až 83)</v>
      </c>
      <c r="N82" s="179" t="str">
        <f t="shared" si="13"/>
        <v>081 Základní kapitál</v>
      </c>
      <c r="O82" s="178" t="str">
        <f t="shared" si="12"/>
        <v>Základní kapitál</v>
      </c>
    </row>
    <row r="83" spans="1:15" x14ac:dyDescent="0.2">
      <c r="A83" s="266">
        <v>82</v>
      </c>
      <c r="B83" s="182" t="s">
        <v>683</v>
      </c>
      <c r="C83" s="182" t="s">
        <v>684</v>
      </c>
      <c r="D83" s="182" t="s">
        <v>685</v>
      </c>
      <c r="E83" s="194" t="s">
        <v>342</v>
      </c>
      <c r="F83" s="194" t="s">
        <v>515</v>
      </c>
      <c r="H83" s="182" t="s">
        <v>237</v>
      </c>
      <c r="I83" s="182" t="s">
        <v>239</v>
      </c>
      <c r="J83" s="184" t="s">
        <v>241</v>
      </c>
      <c r="M83" s="270" t="str">
        <f t="shared" si="8"/>
        <v>A.I. Základní kapitál      (ř. 81 až 83)</v>
      </c>
      <c r="N83" s="179" t="str">
        <f t="shared" si="13"/>
        <v>082 Vlastní podíly (-)</v>
      </c>
      <c r="O83" s="178" t="str">
        <f t="shared" si="12"/>
        <v>Vlastní podíly (-)</v>
      </c>
    </row>
    <row r="84" spans="1:15" x14ac:dyDescent="0.2">
      <c r="A84" s="193">
        <v>83</v>
      </c>
      <c r="B84" s="182" t="s">
        <v>124</v>
      </c>
      <c r="C84" s="182" t="s">
        <v>444</v>
      </c>
      <c r="D84" s="182" t="s">
        <v>380</v>
      </c>
      <c r="E84" s="194" t="s">
        <v>342</v>
      </c>
      <c r="F84" s="194" t="s">
        <v>515</v>
      </c>
      <c r="H84" s="182" t="s">
        <v>237</v>
      </c>
      <c r="I84" s="182" t="s">
        <v>239</v>
      </c>
      <c r="J84" s="184" t="s">
        <v>242</v>
      </c>
      <c r="M84" s="270" t="str">
        <f t="shared" si="8"/>
        <v>A.I. Základní kapitál      (ř. 81 až 83)</v>
      </c>
      <c r="N84" s="179" t="str">
        <f t="shared" si="13"/>
        <v>083 Změny základního kapitálu</v>
      </c>
      <c r="O84" s="178" t="str">
        <f t="shared" si="12"/>
        <v>Změny základního kapitálu</v>
      </c>
    </row>
    <row r="85" spans="1:15" x14ac:dyDescent="0.2">
      <c r="A85" s="266">
        <v>84</v>
      </c>
      <c r="B85" s="182" t="s">
        <v>882</v>
      </c>
      <c r="C85" s="182" t="s">
        <v>883</v>
      </c>
      <c r="D85" s="182" t="s">
        <v>884</v>
      </c>
      <c r="E85" s="194" t="s">
        <v>342</v>
      </c>
      <c r="F85" s="194" t="s">
        <v>515</v>
      </c>
      <c r="M85" s="270" t="str">
        <f t="shared" si="8"/>
        <v>-</v>
      </c>
      <c r="N85" s="179" t="str">
        <f t="shared" si="13"/>
        <v>-</v>
      </c>
      <c r="O85" s="178" t="str">
        <f t="shared" si="12"/>
        <v>Ažio a kapitálové fondy      (ř. 85 + 86)</v>
      </c>
    </row>
    <row r="86" spans="1:15" x14ac:dyDescent="0.2">
      <c r="A86" s="193">
        <v>85</v>
      </c>
      <c r="B86" s="182" t="s">
        <v>621</v>
      </c>
      <c r="C86" s="182" t="s">
        <v>445</v>
      </c>
      <c r="D86" s="182" t="s">
        <v>885</v>
      </c>
      <c r="E86" s="194" t="s">
        <v>342</v>
      </c>
      <c r="F86" s="194" t="s">
        <v>515</v>
      </c>
      <c r="H86" s="182" t="s">
        <v>237</v>
      </c>
      <c r="I86" s="182" t="s">
        <v>249</v>
      </c>
      <c r="J86" s="184" t="s">
        <v>240</v>
      </c>
      <c r="M86" s="270" t="str">
        <f t="shared" si="8"/>
        <v>A.II. Ažio a kapitálové fondy      (ř. 85 + 86)</v>
      </c>
      <c r="N86" s="179" t="str">
        <f t="shared" si="13"/>
        <v>085 Ážio</v>
      </c>
      <c r="O86" s="178" t="str">
        <f t="shared" si="12"/>
        <v>Ážio</v>
      </c>
    </row>
    <row r="87" spans="1:15" x14ac:dyDescent="0.2">
      <c r="A87" s="266">
        <v>86</v>
      </c>
      <c r="B87" s="182" t="s">
        <v>686</v>
      </c>
      <c r="C87" s="182" t="s">
        <v>687</v>
      </c>
      <c r="D87" s="182" t="s">
        <v>688</v>
      </c>
      <c r="E87" s="194" t="s">
        <v>342</v>
      </c>
      <c r="F87" s="194" t="s">
        <v>515</v>
      </c>
      <c r="H87" s="182" t="s">
        <v>237</v>
      </c>
      <c r="I87" s="182" t="s">
        <v>249</v>
      </c>
      <c r="J87" s="184" t="s">
        <v>241</v>
      </c>
      <c r="M87" s="270" t="str">
        <f t="shared" si="8"/>
        <v>A.II. Ažio a kapitálové fondy      (ř. 85 + 86)</v>
      </c>
      <c r="N87" s="179" t="str">
        <f t="shared" si="13"/>
        <v>086 Kapitálové fondy</v>
      </c>
      <c r="O87" s="178" t="str">
        <f t="shared" si="12"/>
        <v>Kapitálové fondy</v>
      </c>
    </row>
    <row r="88" spans="1:15" x14ac:dyDescent="0.2">
      <c r="A88" s="193">
        <v>87</v>
      </c>
      <c r="B88" s="182" t="s">
        <v>120</v>
      </c>
      <c r="C88" s="182" t="s">
        <v>446</v>
      </c>
      <c r="D88" s="182" t="s">
        <v>381</v>
      </c>
      <c r="E88" s="194" t="s">
        <v>342</v>
      </c>
      <c r="F88" s="194" t="s">
        <v>515</v>
      </c>
      <c r="H88" s="182" t="s">
        <v>237</v>
      </c>
      <c r="I88" s="182" t="s">
        <v>249</v>
      </c>
      <c r="J88" s="184" t="s">
        <v>241</v>
      </c>
      <c r="K88" s="184" t="s">
        <v>240</v>
      </c>
      <c r="M88" s="270" t="str">
        <f t="shared" si="8"/>
        <v>A.II. Ažio a kapitálové fondy      (ř. 85 + 86)</v>
      </c>
      <c r="N88" s="179" t="str">
        <f>IF(ISBLANK(H88),"-",CONCATENATE(TEXT(A88,"000")," ",B88))</f>
        <v>087 Ostatní kapitálové fondy</v>
      </c>
      <c r="O88" s="178" t="str">
        <f>IF(jazyk="česky",B88,IF(jazyk="anglicky",C88,IF(jazyk="německy",D88,"-")))</f>
        <v>Ostatní kapitálové fondy</v>
      </c>
    </row>
    <row r="89" spans="1:15" x14ac:dyDescent="0.2">
      <c r="A89" s="193">
        <v>88</v>
      </c>
      <c r="B89" s="182" t="s">
        <v>689</v>
      </c>
      <c r="C89" s="182" t="s">
        <v>447</v>
      </c>
      <c r="D89" s="182" t="s">
        <v>886</v>
      </c>
      <c r="E89" s="194" t="s">
        <v>342</v>
      </c>
      <c r="F89" s="194" t="s">
        <v>515</v>
      </c>
      <c r="H89" s="182" t="s">
        <v>237</v>
      </c>
      <c r="I89" s="182" t="s">
        <v>249</v>
      </c>
      <c r="J89" s="184" t="s">
        <v>241</v>
      </c>
      <c r="K89" s="184" t="s">
        <v>241</v>
      </c>
      <c r="M89" s="270" t="str">
        <f t="shared" si="8"/>
        <v>A.II. Ažio a kapitálové fondy      (ř. 85 + 86)</v>
      </c>
      <c r="N89" s="179" t="str">
        <f t="shared" si="13"/>
        <v>088 Oceňovací rozdíly z přecenění majetku a závazků (+/-)</v>
      </c>
      <c r="O89" s="178" t="str">
        <f t="shared" si="12"/>
        <v>Oceňovací rozdíly z přecenění majetku a závazků (+/-)</v>
      </c>
    </row>
    <row r="90" spans="1:15" x14ac:dyDescent="0.2">
      <c r="A90" s="266">
        <v>89</v>
      </c>
      <c r="B90" s="182" t="s">
        <v>690</v>
      </c>
      <c r="C90" s="182" t="s">
        <v>448</v>
      </c>
      <c r="D90" s="182" t="s">
        <v>887</v>
      </c>
      <c r="E90" s="194" t="s">
        <v>342</v>
      </c>
      <c r="F90" s="194" t="s">
        <v>515</v>
      </c>
      <c r="H90" s="182" t="s">
        <v>237</v>
      </c>
      <c r="I90" s="182" t="s">
        <v>249</v>
      </c>
      <c r="J90" s="184" t="s">
        <v>241</v>
      </c>
      <c r="K90" s="184" t="s">
        <v>242</v>
      </c>
      <c r="M90" s="270" t="str">
        <f t="shared" si="8"/>
        <v>A.II. Ažio a kapitálové fondy      (ř. 85 + 86)</v>
      </c>
      <c r="N90" s="179" t="str">
        <f t="shared" si="13"/>
        <v>089 Oceňovací rozdíly z přecenění při přeměnách obchodních korporací (+/-)</v>
      </c>
      <c r="O90" s="178" t="str">
        <f t="shared" si="12"/>
        <v>Oceňovací rozdíly z přecenění při přeměnách obchodních korporací (+/-)</v>
      </c>
    </row>
    <row r="91" spans="1:15" x14ac:dyDescent="0.2">
      <c r="A91" s="193">
        <v>90</v>
      </c>
      <c r="B91" s="182" t="s">
        <v>622</v>
      </c>
      <c r="C91" s="182" t="s">
        <v>449</v>
      </c>
      <c r="D91" s="182" t="s">
        <v>382</v>
      </c>
      <c r="E91" s="194" t="s">
        <v>342</v>
      </c>
      <c r="F91" s="194" t="s">
        <v>515</v>
      </c>
      <c r="H91" s="182" t="s">
        <v>237</v>
      </c>
      <c r="I91" s="182" t="s">
        <v>249</v>
      </c>
      <c r="J91" s="184" t="s">
        <v>241</v>
      </c>
      <c r="K91" s="184" t="s">
        <v>243</v>
      </c>
      <c r="M91" s="270" t="str">
        <f t="shared" si="8"/>
        <v>A.II. Ažio a kapitálové fondy      (ř. 85 + 86)</v>
      </c>
      <c r="N91" s="179" t="str">
        <f t="shared" si="13"/>
        <v>090 Rozdíly z přeměn obchodních korporací</v>
      </c>
      <c r="O91" s="178" t="str">
        <f t="shared" si="12"/>
        <v>Rozdíly z přeměn obchodních korporací</v>
      </c>
    </row>
    <row r="92" spans="1:15" x14ac:dyDescent="0.2">
      <c r="A92" s="266">
        <v>91</v>
      </c>
      <c r="B92" s="182" t="s">
        <v>623</v>
      </c>
      <c r="C92" s="182" t="s">
        <v>450</v>
      </c>
      <c r="D92" s="182" t="s">
        <v>383</v>
      </c>
      <c r="E92" s="194" t="s">
        <v>342</v>
      </c>
      <c r="F92" s="194" t="s">
        <v>515</v>
      </c>
      <c r="H92" s="182" t="s">
        <v>237</v>
      </c>
      <c r="I92" s="182" t="s">
        <v>249</v>
      </c>
      <c r="J92" s="184" t="s">
        <v>241</v>
      </c>
      <c r="K92" s="184" t="s">
        <v>244</v>
      </c>
      <c r="M92" s="270" t="str">
        <f t="shared" si="8"/>
        <v>A.II. Ažio a kapitálové fondy      (ř. 85 + 86)</v>
      </c>
      <c r="N92" s="179" t="str">
        <f t="shared" si="13"/>
        <v>091 Rozdíly z ocenění při přeměnách obchodních korporací</v>
      </c>
      <c r="O92" s="178" t="str">
        <f t="shared" si="12"/>
        <v>Rozdíly z ocenění při přeměnách obchodních korporací</v>
      </c>
    </row>
    <row r="93" spans="1:15" x14ac:dyDescent="0.2">
      <c r="A93" s="193">
        <v>92</v>
      </c>
      <c r="B93" s="182" t="s">
        <v>888</v>
      </c>
      <c r="C93" s="182" t="s">
        <v>889</v>
      </c>
      <c r="D93" s="182" t="s">
        <v>890</v>
      </c>
      <c r="E93" s="194" t="s">
        <v>342</v>
      </c>
      <c r="F93" s="194" t="s">
        <v>515</v>
      </c>
      <c r="M93" s="270" t="str">
        <f t="shared" si="8"/>
        <v>-</v>
      </c>
      <c r="N93" s="179" t="str">
        <f t="shared" si="13"/>
        <v>-</v>
      </c>
      <c r="O93" s="178" t="str">
        <f t="shared" si="12"/>
        <v>Fondy ze zisku      (ř. 93 + 94)</v>
      </c>
    </row>
    <row r="94" spans="1:15" x14ac:dyDescent="0.2">
      <c r="A94" s="266">
        <v>93</v>
      </c>
      <c r="B94" s="182" t="s">
        <v>691</v>
      </c>
      <c r="C94" s="182" t="s">
        <v>692</v>
      </c>
      <c r="D94" s="182" t="s">
        <v>891</v>
      </c>
      <c r="E94" s="194" t="s">
        <v>342</v>
      </c>
      <c r="F94" s="194" t="s">
        <v>515</v>
      </c>
      <c r="H94" s="182" t="s">
        <v>237</v>
      </c>
      <c r="I94" s="182" t="s">
        <v>254</v>
      </c>
      <c r="J94" s="184" t="s">
        <v>240</v>
      </c>
      <c r="M94" s="270" t="str">
        <f t="shared" si="8"/>
        <v>A.III. Fondy ze zisku      (ř. 93 + 94)</v>
      </c>
      <c r="N94" s="179" t="str">
        <f t="shared" si="13"/>
        <v>093 Ostatní rezervní fondy</v>
      </c>
      <c r="O94" s="178" t="str">
        <f t="shared" si="12"/>
        <v>Ostatní rezervní fondy</v>
      </c>
    </row>
    <row r="95" spans="1:15" x14ac:dyDescent="0.2">
      <c r="A95" s="193">
        <v>94</v>
      </c>
      <c r="B95" s="182" t="s">
        <v>279</v>
      </c>
      <c r="C95" s="182" t="s">
        <v>451</v>
      </c>
      <c r="D95" s="182" t="s">
        <v>384</v>
      </c>
      <c r="E95" s="194" t="s">
        <v>342</v>
      </c>
      <c r="F95" s="194" t="s">
        <v>515</v>
      </c>
      <c r="H95" s="182" t="s">
        <v>237</v>
      </c>
      <c r="I95" s="182" t="s">
        <v>254</v>
      </c>
      <c r="J95" s="184" t="s">
        <v>241</v>
      </c>
      <c r="M95" s="270" t="str">
        <f t="shared" si="8"/>
        <v>A.III. Fondy ze zisku      (ř. 93 + 94)</v>
      </c>
      <c r="N95" s="179" t="str">
        <f t="shared" si="13"/>
        <v>094 Statutární a ostatní fondy</v>
      </c>
      <c r="O95" s="178" t="str">
        <f t="shared" si="12"/>
        <v>Statutární a ostatní fondy</v>
      </c>
    </row>
    <row r="96" spans="1:15" x14ac:dyDescent="0.2">
      <c r="A96" s="266">
        <v>95</v>
      </c>
      <c r="B96" s="182" t="s">
        <v>892</v>
      </c>
      <c r="C96" s="182" t="s">
        <v>893</v>
      </c>
      <c r="D96" s="182" t="s">
        <v>894</v>
      </c>
      <c r="E96" s="194" t="s">
        <v>342</v>
      </c>
      <c r="F96" s="194" t="s">
        <v>515</v>
      </c>
      <c r="M96" s="270" t="str">
        <f t="shared" si="8"/>
        <v>-</v>
      </c>
      <c r="N96" s="179" t="str">
        <f t="shared" si="13"/>
        <v>-</v>
      </c>
      <c r="O96" s="178" t="str">
        <f t="shared" si="12"/>
        <v>Výsledek hospodaření minulých let +/-      (ř. 96 až 98)</v>
      </c>
    </row>
    <row r="97" spans="1:15" x14ac:dyDescent="0.2">
      <c r="A97" s="193">
        <v>96</v>
      </c>
      <c r="B97" s="182" t="s">
        <v>895</v>
      </c>
      <c r="C97" s="182" t="s">
        <v>452</v>
      </c>
      <c r="D97" s="182" t="s">
        <v>385</v>
      </c>
      <c r="E97" s="194" t="s">
        <v>342</v>
      </c>
      <c r="F97" s="194" t="s">
        <v>515</v>
      </c>
      <c r="H97" s="182" t="s">
        <v>237</v>
      </c>
      <c r="I97" s="182" t="s">
        <v>272</v>
      </c>
      <c r="J97" s="184" t="s">
        <v>240</v>
      </c>
      <c r="M97" s="270" t="str">
        <f t="shared" si="8"/>
        <v>A.IV. Výsledek hospodaření minulých let +/-      (ř. 96 až 98)</v>
      </c>
      <c r="N97" s="179" t="str">
        <f t="shared" si="13"/>
        <v>096 Nerozdělený zisk minulých let +</v>
      </c>
      <c r="O97" s="178" t="str">
        <f t="shared" si="12"/>
        <v>Nerozdělený zisk minulých let +</v>
      </c>
    </row>
    <row r="98" spans="1:15" x14ac:dyDescent="0.2">
      <c r="A98" s="266">
        <v>97</v>
      </c>
      <c r="B98" s="182" t="s">
        <v>896</v>
      </c>
      <c r="C98" s="182" t="s">
        <v>453</v>
      </c>
      <c r="D98" s="182" t="s">
        <v>386</v>
      </c>
      <c r="E98" s="194" t="s">
        <v>342</v>
      </c>
      <c r="F98" s="194" t="s">
        <v>515</v>
      </c>
      <c r="H98" s="182" t="s">
        <v>237</v>
      </c>
      <c r="I98" s="182" t="s">
        <v>272</v>
      </c>
      <c r="J98" s="184" t="s">
        <v>241</v>
      </c>
      <c r="M98" s="270" t="str">
        <f t="shared" si="8"/>
        <v>A.IV. Výsledek hospodaření minulých let +/-      (ř. 96 až 98)</v>
      </c>
      <c r="N98" s="179" t="str">
        <f t="shared" si="13"/>
        <v>097 Neuhrazená ztráta minulých let -</v>
      </c>
      <c r="O98" s="178" t="str">
        <f t="shared" si="12"/>
        <v>Neuhrazená ztráta minulých let -</v>
      </c>
    </row>
    <row r="99" spans="1:15" x14ac:dyDescent="0.2">
      <c r="A99" s="193">
        <v>98</v>
      </c>
      <c r="B99" s="182" t="s">
        <v>128</v>
      </c>
      <c r="C99" s="182" t="s">
        <v>454</v>
      </c>
      <c r="D99" s="182" t="s">
        <v>387</v>
      </c>
      <c r="E99" s="194" t="s">
        <v>342</v>
      </c>
      <c r="F99" s="194" t="s">
        <v>515</v>
      </c>
      <c r="H99" s="182" t="s">
        <v>237</v>
      </c>
      <c r="I99" s="182" t="s">
        <v>272</v>
      </c>
      <c r="J99" s="184" t="s">
        <v>242</v>
      </c>
      <c r="M99" s="270" t="str">
        <f t="shared" si="8"/>
        <v>A.IV. Výsledek hospodaření minulých let +/-      (ř. 96 až 98)</v>
      </c>
      <c r="N99" s="179" t="str">
        <f t="shared" si="13"/>
        <v>098 Jiný výsledek hospodaření minulých let</v>
      </c>
      <c r="O99" s="178" t="str">
        <f t="shared" si="12"/>
        <v>Jiný výsledek hospodaření minulých let</v>
      </c>
    </row>
    <row r="100" spans="1:15" x14ac:dyDescent="0.2">
      <c r="A100" s="266">
        <v>99</v>
      </c>
      <c r="B100" s="182" t="s">
        <v>897</v>
      </c>
      <c r="C100" s="182" t="s">
        <v>898</v>
      </c>
      <c r="D100" s="182" t="s">
        <v>899</v>
      </c>
      <c r="E100" s="194" t="s">
        <v>342</v>
      </c>
      <c r="F100" s="194" t="s">
        <v>515</v>
      </c>
      <c r="M100" s="270" t="str">
        <f t="shared" si="8"/>
        <v>-</v>
      </c>
      <c r="N100" s="179" t="str">
        <f t="shared" ref="N100:N115" si="14">IF(ISBLANK(H100),"-",CONCATENATE(TEXT(A100,"000")," ",B100))</f>
        <v>-</v>
      </c>
      <c r="O100" s="178" t="str">
        <f t="shared" ref="O100:O115" si="15">IF(jazyk="česky",B100,IF(jazyk="anglicky",C100,IF(jazyk="německy",D100,"-")))</f>
        <v>Výsledek hospodaření běžného účetního období +/-</v>
      </c>
    </row>
    <row r="101" spans="1:15" x14ac:dyDescent="0.2">
      <c r="A101" s="193">
        <v>100</v>
      </c>
      <c r="B101" s="182" t="s">
        <v>701</v>
      </c>
      <c r="C101" s="182" t="s">
        <v>627</v>
      </c>
      <c r="D101" s="182" t="s">
        <v>628</v>
      </c>
      <c r="E101" s="194" t="s">
        <v>342</v>
      </c>
      <c r="F101" s="194" t="s">
        <v>515</v>
      </c>
      <c r="H101" s="182" t="s">
        <v>237</v>
      </c>
      <c r="I101" s="182" t="s">
        <v>280</v>
      </c>
      <c r="J101" s="184" t="s">
        <v>241</v>
      </c>
      <c r="M101" s="270" t="str">
        <f t="shared" si="8"/>
        <v>A.V. Výsledek hospodaření běžného účetního období +/-</v>
      </c>
      <c r="N101" s="179" t="str">
        <f t="shared" si="14"/>
        <v>100 Rozhodnuto o zálohové výplatě podílu na zisku</v>
      </c>
      <c r="O101" s="178" t="str">
        <f t="shared" si="15"/>
        <v>Rozhodnuto o zálohové výplatě podílu na zisku</v>
      </c>
    </row>
    <row r="102" spans="1:15" x14ac:dyDescent="0.2">
      <c r="A102" s="266">
        <v>101</v>
      </c>
      <c r="B102" s="182" t="s">
        <v>702</v>
      </c>
      <c r="C102" s="182" t="s">
        <v>900</v>
      </c>
      <c r="D102" s="182" t="s">
        <v>901</v>
      </c>
      <c r="E102" s="194" t="s">
        <v>342</v>
      </c>
      <c r="F102" s="194" t="s">
        <v>515</v>
      </c>
      <c r="M102" s="270" t="str">
        <f t="shared" si="8"/>
        <v>-</v>
      </c>
      <c r="N102" s="179" t="str">
        <f t="shared" si="14"/>
        <v>-</v>
      </c>
      <c r="O102" s="178" t="str">
        <f t="shared" si="15"/>
        <v>Cizí zdroje      (ř. 102 + 107)</v>
      </c>
    </row>
    <row r="103" spans="1:15" x14ac:dyDescent="0.2">
      <c r="A103" s="193">
        <v>102</v>
      </c>
      <c r="B103" s="182" t="s">
        <v>902</v>
      </c>
      <c r="C103" s="182" t="s">
        <v>903</v>
      </c>
      <c r="D103" s="182" t="s">
        <v>904</v>
      </c>
      <c r="E103" s="194" t="s">
        <v>342</v>
      </c>
      <c r="F103" s="194" t="s">
        <v>515</v>
      </c>
      <c r="M103" s="270" t="str">
        <f t="shared" si="8"/>
        <v>-</v>
      </c>
      <c r="N103" s="179" t="str">
        <f t="shared" si="14"/>
        <v>-</v>
      </c>
      <c r="O103" s="178" t="str">
        <f t="shared" si="15"/>
        <v>Rezervy      (ř. 103 až 106)</v>
      </c>
    </row>
    <row r="104" spans="1:15" x14ac:dyDescent="0.2">
      <c r="A104" s="266">
        <v>103</v>
      </c>
      <c r="B104" s="182" t="s">
        <v>134</v>
      </c>
      <c r="C104" s="182" t="s">
        <v>456</v>
      </c>
      <c r="D104" s="182" t="s">
        <v>905</v>
      </c>
      <c r="E104" s="194" t="s">
        <v>342</v>
      </c>
      <c r="F104" s="194" t="s">
        <v>515</v>
      </c>
      <c r="H104" s="182" t="s">
        <v>238</v>
      </c>
      <c r="I104" s="182" t="s">
        <v>239</v>
      </c>
      <c r="J104" s="184" t="s">
        <v>240</v>
      </c>
      <c r="M104" s="270" t="str">
        <f t="shared" si="8"/>
        <v>B.I. Rezervy      (ř. 103 až 106)</v>
      </c>
      <c r="N104" s="179" t="str">
        <f t="shared" si="14"/>
        <v>103 Rezerva na důchody a podobné závazky</v>
      </c>
      <c r="O104" s="178" t="str">
        <f t="shared" si="15"/>
        <v>Rezerva na důchody a podobné závazky</v>
      </c>
    </row>
    <row r="105" spans="1:15" x14ac:dyDescent="0.2">
      <c r="A105" s="193">
        <v>104</v>
      </c>
      <c r="B105" s="182" t="s">
        <v>135</v>
      </c>
      <c r="C105" s="182" t="s">
        <v>457</v>
      </c>
      <c r="D105" s="182" t="s">
        <v>388</v>
      </c>
      <c r="E105" s="194" t="s">
        <v>342</v>
      </c>
      <c r="F105" s="194" t="s">
        <v>515</v>
      </c>
      <c r="H105" s="182" t="s">
        <v>238</v>
      </c>
      <c r="I105" s="182" t="s">
        <v>239</v>
      </c>
      <c r="J105" s="184" t="s">
        <v>241</v>
      </c>
      <c r="M105" s="270" t="str">
        <f t="shared" si="8"/>
        <v>B.I. Rezervy      (ř. 103 až 106)</v>
      </c>
      <c r="N105" s="179" t="str">
        <f t="shared" si="14"/>
        <v>104 Rezerva na daň z příjmů</v>
      </c>
      <c r="O105" s="178" t="str">
        <f t="shared" si="15"/>
        <v>Rezerva na daň z příjmů</v>
      </c>
    </row>
    <row r="106" spans="1:15" x14ac:dyDescent="0.2">
      <c r="A106" s="266">
        <v>105</v>
      </c>
      <c r="B106" s="182" t="s">
        <v>133</v>
      </c>
      <c r="C106" s="182" t="s">
        <v>455</v>
      </c>
      <c r="D106" s="182" t="s">
        <v>906</v>
      </c>
      <c r="E106" s="194" t="s">
        <v>342</v>
      </c>
      <c r="F106" s="194" t="s">
        <v>515</v>
      </c>
      <c r="H106" s="182" t="s">
        <v>238</v>
      </c>
      <c r="I106" s="182" t="s">
        <v>239</v>
      </c>
      <c r="J106" s="184" t="s">
        <v>242</v>
      </c>
      <c r="M106" s="270" t="str">
        <f t="shared" si="8"/>
        <v>B.I. Rezervy      (ř. 103 až 106)</v>
      </c>
      <c r="N106" s="179" t="str">
        <f t="shared" si="14"/>
        <v>105 Rezervy podle zvláštních právních předpisů</v>
      </c>
      <c r="O106" s="178" t="str">
        <f t="shared" si="15"/>
        <v>Rezervy podle zvláštních právních předpisů</v>
      </c>
    </row>
    <row r="107" spans="1:15" x14ac:dyDescent="0.2">
      <c r="A107" s="193">
        <v>106</v>
      </c>
      <c r="B107" s="182" t="s">
        <v>136</v>
      </c>
      <c r="C107" s="182" t="s">
        <v>458</v>
      </c>
      <c r="D107" s="182" t="s">
        <v>389</v>
      </c>
      <c r="E107" s="194" t="s">
        <v>342</v>
      </c>
      <c r="F107" s="194" t="s">
        <v>515</v>
      </c>
      <c r="H107" s="182" t="s">
        <v>238</v>
      </c>
      <c r="I107" s="182" t="s">
        <v>239</v>
      </c>
      <c r="J107" s="184" t="s">
        <v>243</v>
      </c>
      <c r="M107" s="270" t="str">
        <f t="shared" si="8"/>
        <v>B.I. Rezervy      (ř. 103 až 106)</v>
      </c>
      <c r="N107" s="179" t="str">
        <f t="shared" si="14"/>
        <v>106 Ostatní rezervy</v>
      </c>
      <c r="O107" s="178" t="str">
        <f t="shared" si="15"/>
        <v>Ostatní rezervy</v>
      </c>
    </row>
    <row r="108" spans="1:15" x14ac:dyDescent="0.2">
      <c r="A108" s="266">
        <v>107</v>
      </c>
      <c r="B108" s="182" t="s">
        <v>907</v>
      </c>
      <c r="C108" s="182" t="s">
        <v>908</v>
      </c>
      <c r="D108" s="182" t="s">
        <v>909</v>
      </c>
      <c r="E108" s="194" t="s">
        <v>342</v>
      </c>
      <c r="F108" s="194" t="s">
        <v>515</v>
      </c>
      <c r="M108" s="270" t="str">
        <f t="shared" si="8"/>
        <v>-</v>
      </c>
      <c r="N108" s="179" t="str">
        <f t="shared" ref="N108" si="16">IF(ISBLANK(H108),"-",CONCATENATE(TEXT(A108,"000")," ",B108))</f>
        <v>-</v>
      </c>
      <c r="O108" s="178" t="str">
        <f t="shared" ref="O108" si="17">IF(jazyk="česky",B108,IF(jazyk="anglicky",C108,IF(jazyk="německy",D108,"-")))</f>
        <v>Závazky      (ř. 108 + 123)</v>
      </c>
    </row>
    <row r="109" spans="1:15" x14ac:dyDescent="0.2">
      <c r="A109" s="266">
        <v>108</v>
      </c>
      <c r="B109" s="182" t="s">
        <v>910</v>
      </c>
      <c r="C109" s="182" t="s">
        <v>911</v>
      </c>
      <c r="D109" s="182" t="s">
        <v>912</v>
      </c>
      <c r="E109" s="194" t="s">
        <v>342</v>
      </c>
      <c r="F109" s="194" t="s">
        <v>515</v>
      </c>
      <c r="M109" s="270" t="str">
        <f t="shared" si="8"/>
        <v>-</v>
      </c>
      <c r="N109" s="179" t="str">
        <f t="shared" si="14"/>
        <v>-</v>
      </c>
      <c r="O109" s="178" t="str">
        <f t="shared" si="15"/>
        <v>Dlouhodobé závazky      (ř. 109 + 112 až 119)</v>
      </c>
    </row>
    <row r="110" spans="1:15" x14ac:dyDescent="0.2">
      <c r="A110" s="266">
        <v>109</v>
      </c>
      <c r="B110" s="182" t="s">
        <v>282</v>
      </c>
      <c r="C110" s="182" t="s">
        <v>463</v>
      </c>
      <c r="D110" s="182" t="s">
        <v>394</v>
      </c>
      <c r="E110" s="194" t="s">
        <v>342</v>
      </c>
      <c r="F110" s="194" t="s">
        <v>515</v>
      </c>
      <c r="H110" s="182" t="s">
        <v>264</v>
      </c>
      <c r="I110" s="182" t="s">
        <v>239</v>
      </c>
      <c r="J110" s="184" t="s">
        <v>240</v>
      </c>
      <c r="M110" s="270" t="str">
        <f t="shared" si="8"/>
        <v>C.I. Dlouhodobé závazky      (ř. 109 + 112 až 119)</v>
      </c>
      <c r="N110" s="179" t="str">
        <f>IF(ISBLANK(H110),"-",CONCATENATE(TEXT(A110,"000")," ",B110))</f>
        <v>109 Vydané dluhopisy</v>
      </c>
      <c r="O110" s="178" t="str">
        <f>IF(jazyk="česky",B110,IF(jazyk="anglicky",C110,IF(jazyk="německy",D110,"-")))</f>
        <v>Vydané dluhopisy</v>
      </c>
    </row>
    <row r="111" spans="1:15" x14ac:dyDescent="0.2">
      <c r="A111" s="193">
        <v>110</v>
      </c>
      <c r="B111" s="182" t="s">
        <v>693</v>
      </c>
      <c r="C111" s="182" t="s">
        <v>913</v>
      </c>
      <c r="D111" s="182" t="s">
        <v>914</v>
      </c>
      <c r="E111" s="194" t="s">
        <v>342</v>
      </c>
      <c r="F111" s="194" t="s">
        <v>515</v>
      </c>
      <c r="H111" s="182" t="s">
        <v>264</v>
      </c>
      <c r="I111" s="182" t="s">
        <v>239</v>
      </c>
      <c r="J111" s="184" t="s">
        <v>240</v>
      </c>
      <c r="K111" s="184" t="s">
        <v>240</v>
      </c>
      <c r="M111" s="270" t="str">
        <f t="shared" si="8"/>
        <v>C.I. Dlouhodobé závazky      (ř. 109 + 112 až 119)</v>
      </c>
      <c r="N111" s="179" t="str">
        <f t="shared" ref="N111:N112" si="18">IF(ISBLANK(H111),"-",CONCATENATE(TEXT(A111,"000")," ",B111))</f>
        <v>110 Vyměnitelné dluhopisy</v>
      </c>
      <c r="O111" s="178" t="str">
        <f>IF(jazyk="česky",B111,IF(jazyk="anglicky",C111,IF(jazyk="německy",D111,"-")))</f>
        <v>Vyměnitelné dluhopisy</v>
      </c>
    </row>
    <row r="112" spans="1:15" x14ac:dyDescent="0.2">
      <c r="A112" s="193">
        <v>111</v>
      </c>
      <c r="B112" s="182" t="s">
        <v>694</v>
      </c>
      <c r="C112" s="182" t="s">
        <v>915</v>
      </c>
      <c r="D112" s="182" t="s">
        <v>916</v>
      </c>
      <c r="E112" s="194" t="s">
        <v>342</v>
      </c>
      <c r="F112" s="194" t="s">
        <v>515</v>
      </c>
      <c r="H112" s="182" t="s">
        <v>264</v>
      </c>
      <c r="I112" s="182" t="s">
        <v>239</v>
      </c>
      <c r="J112" s="184" t="s">
        <v>240</v>
      </c>
      <c r="K112" s="184" t="s">
        <v>241</v>
      </c>
      <c r="M112" s="270" t="str">
        <f t="shared" si="8"/>
        <v>C.I. Dlouhodobé závazky      (ř. 109 + 112 až 119)</v>
      </c>
      <c r="N112" s="179" t="str">
        <f t="shared" si="18"/>
        <v>111 Ostatní dluhopisy</v>
      </c>
      <c r="O112" s="178" t="str">
        <f>IF(jazyk="česky",B112,IF(jazyk="anglicky",C112,IF(jazyk="německy",D112,"-")))</f>
        <v>Ostatní dluhopisy</v>
      </c>
    </row>
    <row r="113" spans="1:15" x14ac:dyDescent="0.2">
      <c r="A113" s="193">
        <v>112</v>
      </c>
      <c r="B113" s="182" t="s">
        <v>695</v>
      </c>
      <c r="C113" s="182" t="s">
        <v>811</v>
      </c>
      <c r="D113" s="182" t="s">
        <v>917</v>
      </c>
      <c r="E113" s="194" t="s">
        <v>342</v>
      </c>
      <c r="F113" s="194" t="s">
        <v>515</v>
      </c>
      <c r="H113" s="182" t="s">
        <v>264</v>
      </c>
      <c r="I113" s="182" t="s">
        <v>239</v>
      </c>
      <c r="J113" s="184" t="s">
        <v>241</v>
      </c>
      <c r="M113" s="270" t="str">
        <f t="shared" si="8"/>
        <v>C.I. Dlouhodobé závazky      (ř. 109 + 112 až 119)</v>
      </c>
      <c r="N113" s="179" t="str">
        <f t="shared" ref="N113:N114" si="19">IF(ISBLANK(H113),"-",CONCATENATE(TEXT(A113,"000")," ",B113))</f>
        <v>112 Závazky k úvěrovým institucím</v>
      </c>
      <c r="O113" s="178" t="str">
        <f>IF(jazyk="česky",B113,IF(jazyk="anglicky",C113,IF(jazyk="německy",D113,"-")))</f>
        <v>Závazky k úvěrovým institucím</v>
      </c>
    </row>
    <row r="114" spans="1:15" x14ac:dyDescent="0.2">
      <c r="A114" s="193">
        <v>113</v>
      </c>
      <c r="B114" s="182" t="s">
        <v>140</v>
      </c>
      <c r="C114" s="182" t="s">
        <v>462</v>
      </c>
      <c r="D114" s="182" t="s">
        <v>393</v>
      </c>
      <c r="E114" s="194" t="s">
        <v>342</v>
      </c>
      <c r="F114" s="194" t="s">
        <v>515</v>
      </c>
      <c r="H114" s="182" t="s">
        <v>264</v>
      </c>
      <c r="I114" s="182" t="s">
        <v>239</v>
      </c>
      <c r="J114" s="184" t="s">
        <v>242</v>
      </c>
      <c r="M114" s="270" t="str">
        <f t="shared" si="8"/>
        <v>C.I. Dlouhodobé závazky      (ř. 109 + 112 až 119)</v>
      </c>
      <c r="N114" s="179" t="str">
        <f t="shared" si="19"/>
        <v>113 Dlouhodobé přijaté zálohy</v>
      </c>
      <c r="O114" s="178" t="str">
        <f>IF(jazyk="česky",B114,IF(jazyk="anglicky",C114,IF(jazyk="německy",D114,"-")))</f>
        <v>Dlouhodobé přijaté zálohy</v>
      </c>
    </row>
    <row r="115" spans="1:15" x14ac:dyDescent="0.2">
      <c r="A115" s="193">
        <v>114</v>
      </c>
      <c r="B115" s="182" t="s">
        <v>73</v>
      </c>
      <c r="C115" s="182" t="s">
        <v>459</v>
      </c>
      <c r="D115" s="182" t="s">
        <v>390</v>
      </c>
      <c r="E115" s="194" t="s">
        <v>342</v>
      </c>
      <c r="F115" s="194" t="s">
        <v>515</v>
      </c>
      <c r="H115" s="182" t="s">
        <v>264</v>
      </c>
      <c r="I115" s="182" t="s">
        <v>239</v>
      </c>
      <c r="J115" s="184" t="s">
        <v>243</v>
      </c>
      <c r="M115" s="270" t="str">
        <f t="shared" si="8"/>
        <v>C.I. Dlouhodobé závazky      (ř. 109 + 112 až 119)</v>
      </c>
      <c r="N115" s="179" t="str">
        <f t="shared" si="14"/>
        <v>114 Závazky z obchodních vztahů</v>
      </c>
      <c r="O115" s="178" t="str">
        <f t="shared" si="15"/>
        <v>Závazky z obchodních vztahů</v>
      </c>
    </row>
    <row r="116" spans="1:15" x14ac:dyDescent="0.2">
      <c r="A116" s="193">
        <v>115</v>
      </c>
      <c r="B116" s="182" t="s">
        <v>141</v>
      </c>
      <c r="C116" s="182" t="s">
        <v>464</v>
      </c>
      <c r="D116" s="182" t="s">
        <v>395</v>
      </c>
      <c r="E116" s="194" t="s">
        <v>342</v>
      </c>
      <c r="F116" s="194" t="s">
        <v>515</v>
      </c>
      <c r="H116" s="182" t="s">
        <v>264</v>
      </c>
      <c r="I116" s="182" t="s">
        <v>239</v>
      </c>
      <c r="J116" s="184" t="s">
        <v>244</v>
      </c>
      <c r="M116" s="270" t="str">
        <f t="shared" si="8"/>
        <v>C.I. Dlouhodobé závazky      (ř. 109 + 112 až 119)</v>
      </c>
      <c r="N116" s="179" t="str">
        <f>IF(ISBLANK(H116),"-",CONCATENATE(TEXT(A116,"000")," ",B116))</f>
        <v>115 Dlouhodobé směnky k úhradě</v>
      </c>
      <c r="O116" s="178" t="str">
        <f>IF(jazyk="česky",B116,IF(jazyk="anglicky",C116,IF(jazyk="německy",D116,"-")))</f>
        <v>Dlouhodobé směnky k úhradě</v>
      </c>
    </row>
    <row r="117" spans="1:15" x14ac:dyDescent="0.2">
      <c r="A117" s="266">
        <v>116</v>
      </c>
      <c r="B117" s="182" t="s">
        <v>281</v>
      </c>
      <c r="C117" s="182" t="s">
        <v>460</v>
      </c>
      <c r="D117" s="182" t="s">
        <v>391</v>
      </c>
      <c r="E117" s="194" t="s">
        <v>342</v>
      </c>
      <c r="F117" s="194" t="s">
        <v>515</v>
      </c>
      <c r="H117" s="182" t="s">
        <v>264</v>
      </c>
      <c r="I117" s="182" t="s">
        <v>239</v>
      </c>
      <c r="J117" s="184" t="s">
        <v>245</v>
      </c>
      <c r="M117" s="270" t="str">
        <f t="shared" si="8"/>
        <v>C.I. Dlouhodobé závazky      (ř. 109 + 112 až 119)</v>
      </c>
      <c r="N117" s="179" t="str">
        <f t="shared" ref="N117:N121" si="20">IF(ISBLANK(H117),"-",CONCATENATE(TEXT(A117,"000")," ",B117))</f>
        <v>116 Závazky - ovládaná nebo ovládající osoba</v>
      </c>
      <c r="O117" s="178" t="str">
        <f t="shared" ref="O117:O121" si="21">IF(jazyk="česky",B117,IF(jazyk="anglicky",C117,IF(jazyk="německy",D117,"-")))</f>
        <v>Závazky - ovládaná nebo ovládající osoba</v>
      </c>
    </row>
    <row r="118" spans="1:15" x14ac:dyDescent="0.2">
      <c r="A118" s="193">
        <v>117</v>
      </c>
      <c r="B118" s="182" t="s">
        <v>94</v>
      </c>
      <c r="C118" s="182" t="s">
        <v>461</v>
      </c>
      <c r="D118" s="182" t="s">
        <v>392</v>
      </c>
      <c r="E118" s="194" t="s">
        <v>342</v>
      </c>
      <c r="F118" s="194" t="s">
        <v>515</v>
      </c>
      <c r="H118" s="182" t="s">
        <v>264</v>
      </c>
      <c r="I118" s="182" t="s">
        <v>239</v>
      </c>
      <c r="J118" s="184" t="s">
        <v>246</v>
      </c>
      <c r="M118" s="270" t="str">
        <f t="shared" si="8"/>
        <v>C.I. Dlouhodobé závazky      (ř. 109 + 112 až 119)</v>
      </c>
      <c r="N118" s="179" t="str">
        <f t="shared" si="20"/>
        <v>117 Závazky - podstatný vliv</v>
      </c>
      <c r="O118" s="178" t="str">
        <f t="shared" si="21"/>
        <v>Závazky - podstatný vliv</v>
      </c>
    </row>
    <row r="119" spans="1:15" x14ac:dyDescent="0.2">
      <c r="A119" s="266">
        <v>118</v>
      </c>
      <c r="B119" s="182" t="s">
        <v>284</v>
      </c>
      <c r="C119" s="182" t="s">
        <v>467</v>
      </c>
      <c r="D119" s="182" t="s">
        <v>398</v>
      </c>
      <c r="E119" s="194" t="s">
        <v>342</v>
      </c>
      <c r="F119" s="194" t="s">
        <v>515</v>
      </c>
      <c r="H119" s="182" t="s">
        <v>264</v>
      </c>
      <c r="I119" s="182" t="s">
        <v>239</v>
      </c>
      <c r="J119" s="184" t="s">
        <v>247</v>
      </c>
      <c r="M119" s="270" t="str">
        <f t="shared" si="8"/>
        <v>C.I. Dlouhodobé závazky      (ř. 109 + 112 až 119)</v>
      </c>
      <c r="N119" s="179" t="str">
        <f>IF(ISBLANK(H119),"-",CONCATENATE(TEXT(A119,"000")," ",B119))</f>
        <v>118 Odložený daňový závazek</v>
      </c>
      <c r="O119" s="178" t="str">
        <f>IF(jazyk="česky",B119,IF(jazyk="anglicky",C119,IF(jazyk="německy",D119,"-")))</f>
        <v>Odložený daňový závazek</v>
      </c>
    </row>
    <row r="120" spans="1:15" x14ac:dyDescent="0.2">
      <c r="A120" s="193">
        <v>119</v>
      </c>
      <c r="B120" s="182" t="s">
        <v>696</v>
      </c>
      <c r="C120" s="182" t="s">
        <v>918</v>
      </c>
      <c r="D120" s="182" t="s">
        <v>397</v>
      </c>
      <c r="E120" s="194" t="s">
        <v>342</v>
      </c>
      <c r="F120" s="194" t="s">
        <v>515</v>
      </c>
      <c r="H120" s="182" t="s">
        <v>264</v>
      </c>
      <c r="I120" s="182" t="s">
        <v>239</v>
      </c>
      <c r="J120" s="184" t="s">
        <v>250</v>
      </c>
      <c r="M120" s="270" t="str">
        <f t="shared" si="8"/>
        <v>C.I. Dlouhodobé závazky      (ř. 109 + 112 až 119)</v>
      </c>
      <c r="N120" s="179" t="str">
        <f>IF(ISBLANK(H120),"-",CONCATENATE(TEXT(A120,"000")," ",B120))</f>
        <v>119 Závazky ostatní</v>
      </c>
      <c r="O120" s="178" t="str">
        <f>IF(jazyk="česky",B120,IF(jazyk="anglicky",C120,IF(jazyk="německy",D120,"-")))</f>
        <v>Závazky ostatní</v>
      </c>
    </row>
    <row r="121" spans="1:15" x14ac:dyDescent="0.2">
      <c r="A121" s="266">
        <v>120</v>
      </c>
      <c r="B121" s="182" t="s">
        <v>624</v>
      </c>
      <c r="C121" s="182" t="s">
        <v>625</v>
      </c>
      <c r="D121" s="182" t="s">
        <v>626</v>
      </c>
      <c r="E121" s="194" t="s">
        <v>342</v>
      </c>
      <c r="F121" s="194" t="s">
        <v>515</v>
      </c>
      <c r="H121" s="182" t="s">
        <v>264</v>
      </c>
      <c r="I121" s="182" t="s">
        <v>239</v>
      </c>
      <c r="J121" s="184" t="s">
        <v>250</v>
      </c>
      <c r="K121" s="184" t="s">
        <v>240</v>
      </c>
      <c r="M121" s="270" t="str">
        <f t="shared" si="8"/>
        <v>C.I. Dlouhodobé závazky      (ř. 109 + 112 až 119)</v>
      </c>
      <c r="N121" s="179" t="str">
        <f t="shared" si="20"/>
        <v>120 Závazky ke společníkům</v>
      </c>
      <c r="O121" s="178" t="str">
        <f t="shared" si="21"/>
        <v>Závazky ke společníkům</v>
      </c>
    </row>
    <row r="122" spans="1:15" x14ac:dyDescent="0.2">
      <c r="A122" s="266">
        <v>121</v>
      </c>
      <c r="B122" s="182" t="s">
        <v>283</v>
      </c>
      <c r="C122" s="182" t="s">
        <v>465</v>
      </c>
      <c r="D122" s="182" t="s">
        <v>396</v>
      </c>
      <c r="E122" s="194" t="s">
        <v>342</v>
      </c>
      <c r="F122" s="194" t="s">
        <v>515</v>
      </c>
      <c r="H122" s="182" t="s">
        <v>264</v>
      </c>
      <c r="I122" s="182" t="s">
        <v>239</v>
      </c>
      <c r="J122" s="184" t="s">
        <v>250</v>
      </c>
      <c r="K122" s="184" t="s">
        <v>241</v>
      </c>
      <c r="M122" s="270" t="str">
        <f t="shared" si="8"/>
        <v>C.I. Dlouhodobé závazky      (ř. 109 + 112 až 119)</v>
      </c>
      <c r="N122" s="179" t="str">
        <f>IF(ISBLANK(H122),"-",CONCATENATE(TEXT(A122,"000")," ",B122))</f>
        <v>121 Dohadné účty pasívní</v>
      </c>
      <c r="O122" s="178" t="str">
        <f>IF(jazyk="česky",B122,IF(jazyk="anglicky",C122,IF(jazyk="německy",D122,"-")))</f>
        <v>Dohadné účty pasívní</v>
      </c>
    </row>
    <row r="123" spans="1:15" x14ac:dyDescent="0.2">
      <c r="A123" s="193">
        <v>122</v>
      </c>
      <c r="B123" s="182" t="s">
        <v>107</v>
      </c>
      <c r="C123" s="182" t="s">
        <v>466</v>
      </c>
      <c r="D123" s="182" t="s">
        <v>919</v>
      </c>
      <c r="E123" s="194" t="s">
        <v>342</v>
      </c>
      <c r="F123" s="194" t="s">
        <v>515</v>
      </c>
      <c r="H123" s="182" t="s">
        <v>264</v>
      </c>
      <c r="I123" s="182" t="s">
        <v>239</v>
      </c>
      <c r="J123" s="184" t="s">
        <v>250</v>
      </c>
      <c r="K123" s="184" t="s">
        <v>242</v>
      </c>
      <c r="M123" s="270" t="str">
        <f t="shared" si="8"/>
        <v>C.I. Dlouhodobé závazky      (ř. 109 + 112 až 119)</v>
      </c>
      <c r="N123" s="179" t="str">
        <f>IF(ISBLANK(H123),"-",CONCATENATE(TEXT(A123,"000")," ",B123))</f>
        <v>122 Jiné závazky</v>
      </c>
      <c r="O123" s="178" t="str">
        <f>IF(jazyk="česky",B123,IF(jazyk="anglicky",C123,IF(jazyk="německy",D123,"-")))</f>
        <v>Jiné závazky</v>
      </c>
    </row>
    <row r="124" spans="1:15" x14ac:dyDescent="0.2">
      <c r="A124" s="193">
        <v>123</v>
      </c>
      <c r="B124" s="182" t="s">
        <v>920</v>
      </c>
      <c r="C124" s="182" t="s">
        <v>921</v>
      </c>
      <c r="D124" s="182" t="s">
        <v>922</v>
      </c>
      <c r="E124" s="194" t="s">
        <v>342</v>
      </c>
      <c r="F124" s="194" t="s">
        <v>515</v>
      </c>
      <c r="M124" s="270" t="str">
        <f t="shared" si="8"/>
        <v>-</v>
      </c>
      <c r="N124" s="179" t="str">
        <f t="shared" si="13"/>
        <v>-</v>
      </c>
      <c r="O124" s="178" t="str">
        <f t="shared" ref="O124:O144" si="22">IF(jazyk="česky",B124,IF(jazyk="anglicky",C124,IF(jazyk="německy",D124,"-")))</f>
        <v>Krátkodobé závazky      (ř. 124 + 127 až 133)</v>
      </c>
    </row>
    <row r="125" spans="1:15" x14ac:dyDescent="0.2">
      <c r="A125" s="266">
        <v>124</v>
      </c>
      <c r="B125" s="182" t="s">
        <v>282</v>
      </c>
      <c r="C125" s="182" t="s">
        <v>463</v>
      </c>
      <c r="D125" s="182" t="s">
        <v>394</v>
      </c>
      <c r="E125" s="194" t="s">
        <v>342</v>
      </c>
      <c r="F125" s="194" t="s">
        <v>515</v>
      </c>
      <c r="H125" s="182" t="s">
        <v>264</v>
      </c>
      <c r="I125" s="182" t="s">
        <v>249</v>
      </c>
      <c r="J125" s="184" t="s">
        <v>240</v>
      </c>
      <c r="M125" s="270" t="str">
        <f t="shared" si="8"/>
        <v>C.II. Krátkodobé závazky      (ř. 124 + 127 až 133)</v>
      </c>
      <c r="N125" s="179" t="str">
        <f>IF(ISBLANK(H125),"-",CONCATENATE(TEXT(A125,"000")," ",B125))</f>
        <v>124 Vydané dluhopisy</v>
      </c>
      <c r="O125" s="178" t="str">
        <f>IF(jazyk="česky",B125,IF(jazyk="anglicky",C125,IF(jazyk="německy",D125,"-")))</f>
        <v>Vydané dluhopisy</v>
      </c>
    </row>
    <row r="126" spans="1:15" x14ac:dyDescent="0.2">
      <c r="A126" s="193">
        <v>125</v>
      </c>
      <c r="B126" s="182" t="s">
        <v>693</v>
      </c>
      <c r="C126" s="182" t="s">
        <v>913</v>
      </c>
      <c r="D126" s="182" t="s">
        <v>914</v>
      </c>
      <c r="E126" s="194" t="s">
        <v>342</v>
      </c>
      <c r="F126" s="194" t="s">
        <v>515</v>
      </c>
      <c r="H126" s="182" t="s">
        <v>264</v>
      </c>
      <c r="I126" s="182" t="s">
        <v>249</v>
      </c>
      <c r="J126" s="184" t="s">
        <v>240</v>
      </c>
      <c r="K126" s="184" t="s">
        <v>240</v>
      </c>
      <c r="M126" s="270" t="str">
        <f t="shared" si="8"/>
        <v>C.II. Krátkodobé závazky      (ř. 124 + 127 až 133)</v>
      </c>
      <c r="N126" s="179" t="str">
        <f>IF(ISBLANK(H126),"-",CONCATENATE(TEXT(A126,"000")," ",B126))</f>
        <v>125 Vyměnitelné dluhopisy</v>
      </c>
      <c r="O126" s="178" t="str">
        <f>IF(jazyk="česky",B126,IF(jazyk="anglicky",C126,IF(jazyk="německy",D126,"-")))</f>
        <v>Vyměnitelné dluhopisy</v>
      </c>
    </row>
    <row r="127" spans="1:15" x14ac:dyDescent="0.2">
      <c r="A127" s="193">
        <v>126</v>
      </c>
      <c r="B127" s="182" t="s">
        <v>694</v>
      </c>
      <c r="C127" s="182" t="s">
        <v>915</v>
      </c>
      <c r="D127" s="182" t="s">
        <v>916</v>
      </c>
      <c r="E127" s="194" t="s">
        <v>342</v>
      </c>
      <c r="F127" s="194" t="s">
        <v>515</v>
      </c>
      <c r="H127" s="182" t="s">
        <v>264</v>
      </c>
      <c r="I127" s="182" t="s">
        <v>249</v>
      </c>
      <c r="J127" s="184" t="s">
        <v>240</v>
      </c>
      <c r="K127" s="184" t="s">
        <v>241</v>
      </c>
      <c r="M127" s="270" t="str">
        <f t="shared" si="8"/>
        <v>C.II. Krátkodobé závazky      (ř. 124 + 127 až 133)</v>
      </c>
      <c r="N127" s="179" t="str">
        <f>IF(ISBLANK(H127),"-",CONCATENATE(TEXT(A127,"000")," ",B127))</f>
        <v>126 Ostatní dluhopisy</v>
      </c>
      <c r="O127" s="178" t="str">
        <f>IF(jazyk="česky",B127,IF(jazyk="anglicky",C127,IF(jazyk="německy",D127,"-")))</f>
        <v>Ostatní dluhopisy</v>
      </c>
    </row>
    <row r="128" spans="1:15" x14ac:dyDescent="0.2">
      <c r="A128" s="193">
        <v>127</v>
      </c>
      <c r="B128" s="182" t="s">
        <v>695</v>
      </c>
      <c r="C128" s="182" t="s">
        <v>923</v>
      </c>
      <c r="D128" s="182" t="s">
        <v>924</v>
      </c>
      <c r="E128" s="194" t="s">
        <v>342</v>
      </c>
      <c r="F128" s="194" t="s">
        <v>515</v>
      </c>
      <c r="H128" s="182" t="s">
        <v>264</v>
      </c>
      <c r="I128" s="182" t="s">
        <v>249</v>
      </c>
      <c r="J128" s="184" t="s">
        <v>241</v>
      </c>
      <c r="M128" s="270" t="str">
        <f t="shared" si="8"/>
        <v>C.II. Krátkodobé závazky      (ř. 124 + 127 až 133)</v>
      </c>
      <c r="N128" s="179" t="str">
        <f t="shared" ref="N128:N129" si="23">IF(ISBLANK(H128),"-",CONCATENATE(TEXT(A128,"000")," ",B128))</f>
        <v>127 Závazky k úvěrovým institucím</v>
      </c>
      <c r="O128" s="178" t="str">
        <f>IF(jazyk="česky",B128,IF(jazyk="anglicky",C128,IF(jazyk="německy",D128,"-")))</f>
        <v>Závazky k úvěrovým institucím</v>
      </c>
    </row>
    <row r="129" spans="1:15" x14ac:dyDescent="0.2">
      <c r="A129" s="193">
        <v>128</v>
      </c>
      <c r="B129" s="182" t="s">
        <v>782</v>
      </c>
      <c r="C129" s="182" t="s">
        <v>471</v>
      </c>
      <c r="D129" s="182" t="s">
        <v>402</v>
      </c>
      <c r="E129" s="194" t="s">
        <v>342</v>
      </c>
      <c r="F129" s="194" t="s">
        <v>515</v>
      </c>
      <c r="H129" s="182" t="s">
        <v>264</v>
      </c>
      <c r="I129" s="182" t="s">
        <v>249</v>
      </c>
      <c r="J129" s="184" t="s">
        <v>242</v>
      </c>
      <c r="M129" s="270" t="str">
        <f t="shared" si="8"/>
        <v>C.II. Krátkodobé závazky      (ř. 124 + 127 až 133)</v>
      </c>
      <c r="N129" s="179" t="str">
        <f t="shared" si="23"/>
        <v>128 Krátkodobé přijaté zálohy</v>
      </c>
      <c r="O129" s="178" t="str">
        <f>IF(jazyk="česky",B129,IF(jazyk="anglicky",C129,IF(jazyk="německy",D129,"-")))</f>
        <v>Krátkodobé přijaté zálohy</v>
      </c>
    </row>
    <row r="130" spans="1:15" x14ac:dyDescent="0.2">
      <c r="A130" s="266">
        <v>129</v>
      </c>
      <c r="B130" s="182" t="s">
        <v>73</v>
      </c>
      <c r="C130" s="182" t="s">
        <v>459</v>
      </c>
      <c r="D130" s="182" t="s">
        <v>390</v>
      </c>
      <c r="E130" s="194" t="s">
        <v>342</v>
      </c>
      <c r="F130" s="194" t="s">
        <v>515</v>
      </c>
      <c r="H130" s="182" t="s">
        <v>264</v>
      </c>
      <c r="I130" s="182" t="s">
        <v>249</v>
      </c>
      <c r="J130" s="184" t="s">
        <v>243</v>
      </c>
      <c r="M130" s="270" t="str">
        <f t="shared" si="8"/>
        <v>C.II. Krátkodobé závazky      (ř. 124 + 127 až 133)</v>
      </c>
      <c r="N130" s="179" t="str">
        <f t="shared" si="13"/>
        <v>129 Závazky z obchodních vztahů</v>
      </c>
      <c r="O130" s="178" t="str">
        <f t="shared" si="22"/>
        <v>Závazky z obchodních vztahů</v>
      </c>
    </row>
    <row r="131" spans="1:15" x14ac:dyDescent="0.2">
      <c r="A131" s="193">
        <v>130</v>
      </c>
      <c r="B131" s="182" t="s">
        <v>697</v>
      </c>
      <c r="C131" s="182" t="s">
        <v>698</v>
      </c>
      <c r="D131" s="182" t="s">
        <v>699</v>
      </c>
      <c r="E131" s="194" t="s">
        <v>342</v>
      </c>
      <c r="F131" s="194" t="s">
        <v>515</v>
      </c>
      <c r="H131" s="182" t="s">
        <v>264</v>
      </c>
      <c r="I131" s="182" t="s">
        <v>249</v>
      </c>
      <c r="J131" s="184" t="s">
        <v>244</v>
      </c>
      <c r="M131" s="270" t="str">
        <f t="shared" si="8"/>
        <v>C.II. Krátkodobé závazky      (ř. 124 + 127 až 133)</v>
      </c>
      <c r="N131" s="179" t="str">
        <f>IF(ISBLANK(H131),"-",CONCATENATE(TEXT(A131,"000")," ",B131))</f>
        <v>130 Krátkodobé směnky k úhradě</v>
      </c>
      <c r="O131" s="178" t="str">
        <f>IF(jazyk="česky",B131,IF(jazyk="anglicky",C131,IF(jazyk="německy",D131,"-")))</f>
        <v>Krátkodobé směnky k úhradě</v>
      </c>
    </row>
    <row r="132" spans="1:15" x14ac:dyDescent="0.2">
      <c r="A132" s="193">
        <v>131</v>
      </c>
      <c r="B132" s="182" t="s">
        <v>281</v>
      </c>
      <c r="C132" s="182" t="s">
        <v>460</v>
      </c>
      <c r="D132" s="182" t="s">
        <v>391</v>
      </c>
      <c r="E132" s="194" t="s">
        <v>342</v>
      </c>
      <c r="F132" s="194" t="s">
        <v>515</v>
      </c>
      <c r="H132" s="182" t="s">
        <v>264</v>
      </c>
      <c r="I132" s="182" t="s">
        <v>249</v>
      </c>
      <c r="J132" s="184" t="s">
        <v>245</v>
      </c>
      <c r="M132" s="270" t="str">
        <f t="shared" si="8"/>
        <v>C.II. Krátkodobé závazky      (ř. 124 + 127 až 133)</v>
      </c>
      <c r="N132" s="179" t="str">
        <f t="shared" si="13"/>
        <v>131 Závazky - ovládaná nebo ovládající osoba</v>
      </c>
      <c r="O132" s="178" t="str">
        <f t="shared" si="22"/>
        <v>Závazky - ovládaná nebo ovládající osoba</v>
      </c>
    </row>
    <row r="133" spans="1:15" x14ac:dyDescent="0.2">
      <c r="A133" s="266">
        <v>132</v>
      </c>
      <c r="B133" s="182" t="s">
        <v>94</v>
      </c>
      <c r="C133" s="182" t="s">
        <v>461</v>
      </c>
      <c r="D133" s="182" t="s">
        <v>392</v>
      </c>
      <c r="E133" s="194" t="s">
        <v>342</v>
      </c>
      <c r="F133" s="194" t="s">
        <v>515</v>
      </c>
      <c r="H133" s="182" t="s">
        <v>264</v>
      </c>
      <c r="I133" s="182" t="s">
        <v>249</v>
      </c>
      <c r="J133" s="184" t="s">
        <v>246</v>
      </c>
      <c r="M133" s="270" t="str">
        <f t="shared" si="8"/>
        <v>C.II. Krátkodobé závazky      (ř. 124 + 127 až 133)</v>
      </c>
      <c r="N133" s="179" t="str">
        <f t="shared" si="13"/>
        <v>132 Závazky - podstatný vliv</v>
      </c>
      <c r="O133" s="178" t="str">
        <f t="shared" si="22"/>
        <v>Závazky - podstatný vliv</v>
      </c>
    </row>
    <row r="134" spans="1:15" x14ac:dyDescent="0.2">
      <c r="A134" s="193">
        <v>133</v>
      </c>
      <c r="B134" s="182" t="s">
        <v>696</v>
      </c>
      <c r="C134" s="182" t="s">
        <v>812</v>
      </c>
      <c r="D134" s="182" t="s">
        <v>397</v>
      </c>
      <c r="E134" s="194" t="s">
        <v>342</v>
      </c>
      <c r="F134" s="194" t="s">
        <v>515</v>
      </c>
      <c r="H134" s="182" t="s">
        <v>264</v>
      </c>
      <c r="I134" s="182" t="s">
        <v>249</v>
      </c>
      <c r="J134" s="184" t="s">
        <v>247</v>
      </c>
      <c r="M134" s="270" t="str">
        <f t="shared" ref="M134:M144" si="24">IF(AND(H134=0,I134=0,J134=0),"-",IF(A134=2,CONCATENATE(H134,I134," ",B134),IF(ISBLANK(H133),CONCATENATE(H134,I134," ",B133),M133)))</f>
        <v>C.II. Krátkodobé závazky      (ř. 124 + 127 až 133)</v>
      </c>
      <c r="N134" s="179" t="str">
        <f>IF(ISBLANK(H134),"-",CONCATENATE(TEXT(A134,"000")," ",B134))</f>
        <v>133 Závazky ostatní</v>
      </c>
      <c r="O134" s="178" t="str">
        <f>IF(jazyk="česky",B134,IF(jazyk="anglicky",C134,IF(jazyk="německy",D134,"-")))</f>
        <v>Závazky ostatní</v>
      </c>
    </row>
    <row r="135" spans="1:15" x14ac:dyDescent="0.2">
      <c r="A135" s="193">
        <v>134</v>
      </c>
      <c r="B135" s="182" t="s">
        <v>624</v>
      </c>
      <c r="C135" s="182" t="s">
        <v>625</v>
      </c>
      <c r="D135" s="182" t="s">
        <v>626</v>
      </c>
      <c r="E135" s="194" t="s">
        <v>342</v>
      </c>
      <c r="F135" s="194" t="s">
        <v>515</v>
      </c>
      <c r="H135" s="182" t="s">
        <v>264</v>
      </c>
      <c r="I135" s="182" t="s">
        <v>249</v>
      </c>
      <c r="J135" s="184" t="s">
        <v>247</v>
      </c>
      <c r="K135" s="184" t="s">
        <v>240</v>
      </c>
      <c r="M135" s="270" t="str">
        <f t="shared" si="24"/>
        <v>C.II. Krátkodobé závazky      (ř. 124 + 127 až 133)</v>
      </c>
      <c r="N135" s="179" t="str">
        <f t="shared" si="13"/>
        <v>134 Závazky ke společníkům</v>
      </c>
      <c r="O135" s="178" t="str">
        <f t="shared" si="22"/>
        <v>Závazky ke společníkům</v>
      </c>
    </row>
    <row r="136" spans="1:15" x14ac:dyDescent="0.2">
      <c r="A136" s="266">
        <v>135</v>
      </c>
      <c r="B136" s="182" t="s">
        <v>230</v>
      </c>
      <c r="C136" s="182" t="s">
        <v>472</v>
      </c>
      <c r="D136" s="182" t="s">
        <v>925</v>
      </c>
      <c r="E136" s="194" t="s">
        <v>342</v>
      </c>
      <c r="F136" s="194" t="s">
        <v>515</v>
      </c>
      <c r="H136" s="182" t="s">
        <v>264</v>
      </c>
      <c r="I136" s="182" t="s">
        <v>249</v>
      </c>
      <c r="J136" s="184" t="s">
        <v>247</v>
      </c>
      <c r="K136" s="184" t="s">
        <v>241</v>
      </c>
      <c r="M136" s="270" t="str">
        <f t="shared" si="24"/>
        <v>C.II. Krátkodobé závazky      (ř. 124 + 127 až 133)</v>
      </c>
      <c r="N136" s="179" t="str">
        <f>IF(ISBLANK(H136),"-",CONCATENATE(TEXT(A136,"000")," ",B136))</f>
        <v>135 Krátkodobé finanční výpomoci</v>
      </c>
      <c r="O136" s="178" t="str">
        <f>IF(jazyk="česky",B136,IF(jazyk="anglicky",C136,IF(jazyk="německy",D136,"-")))</f>
        <v>Krátkodobé finanční výpomoci</v>
      </c>
    </row>
    <row r="137" spans="1:15" x14ac:dyDescent="0.2">
      <c r="A137" s="266">
        <v>136</v>
      </c>
      <c r="B137" s="182" t="s">
        <v>291</v>
      </c>
      <c r="C137" s="182" t="s">
        <v>468</v>
      </c>
      <c r="D137" s="182" t="s">
        <v>399</v>
      </c>
      <c r="E137" s="194" t="s">
        <v>342</v>
      </c>
      <c r="F137" s="194" t="s">
        <v>515</v>
      </c>
      <c r="H137" s="182" t="s">
        <v>264</v>
      </c>
      <c r="I137" s="182" t="s">
        <v>249</v>
      </c>
      <c r="J137" s="184" t="s">
        <v>247</v>
      </c>
      <c r="K137" s="184" t="s">
        <v>242</v>
      </c>
      <c r="M137" s="270" t="str">
        <f t="shared" si="24"/>
        <v>C.II. Krátkodobé závazky      (ř. 124 + 127 až 133)</v>
      </c>
      <c r="N137" s="179" t="str">
        <f t="shared" si="13"/>
        <v>136 Závazky k zaměstnancům</v>
      </c>
      <c r="O137" s="178" t="str">
        <f t="shared" si="22"/>
        <v>Závazky k zaměstnancům</v>
      </c>
    </row>
    <row r="138" spans="1:15" x14ac:dyDescent="0.2">
      <c r="A138" s="193">
        <v>137</v>
      </c>
      <c r="B138" s="182" t="s">
        <v>292</v>
      </c>
      <c r="C138" s="182" t="s">
        <v>469</v>
      </c>
      <c r="D138" s="182" t="s">
        <v>400</v>
      </c>
      <c r="E138" s="194" t="s">
        <v>342</v>
      </c>
      <c r="F138" s="194" t="s">
        <v>515</v>
      </c>
      <c r="H138" s="182" t="s">
        <v>264</v>
      </c>
      <c r="I138" s="182" t="s">
        <v>249</v>
      </c>
      <c r="J138" s="184" t="s">
        <v>247</v>
      </c>
      <c r="K138" s="184" t="s">
        <v>243</v>
      </c>
      <c r="M138" s="270" t="str">
        <f t="shared" si="24"/>
        <v>C.II. Krátkodobé závazky      (ř. 124 + 127 až 133)</v>
      </c>
      <c r="N138" s="179" t="str">
        <f t="shared" si="13"/>
        <v>137 Závazky ze sociálního zabezpečení a zdravotního pojištění</v>
      </c>
      <c r="O138" s="178" t="str">
        <f t="shared" si="22"/>
        <v>Závazky ze sociálního zabezpečení a zdravotního pojištění</v>
      </c>
    </row>
    <row r="139" spans="1:15" x14ac:dyDescent="0.2">
      <c r="A139" s="266">
        <v>138</v>
      </c>
      <c r="B139" s="182" t="s">
        <v>293</v>
      </c>
      <c r="C139" s="182" t="s">
        <v>470</v>
      </c>
      <c r="D139" s="182" t="s">
        <v>401</v>
      </c>
      <c r="E139" s="194" t="s">
        <v>342</v>
      </c>
      <c r="F139" s="194" t="s">
        <v>515</v>
      </c>
      <c r="H139" s="182" t="s">
        <v>264</v>
      </c>
      <c r="I139" s="182" t="s">
        <v>249</v>
      </c>
      <c r="J139" s="184" t="s">
        <v>247</v>
      </c>
      <c r="K139" s="184" t="s">
        <v>244</v>
      </c>
      <c r="M139" s="270" t="str">
        <f t="shared" si="24"/>
        <v>C.II. Krátkodobé závazky      (ř. 124 + 127 až 133)</v>
      </c>
      <c r="N139" s="179" t="str">
        <f t="shared" si="13"/>
        <v>138 Stát - daňové závazky a dotace</v>
      </c>
      <c r="O139" s="178" t="str">
        <f t="shared" si="22"/>
        <v>Stát - daňové závazky a dotace</v>
      </c>
    </row>
    <row r="140" spans="1:15" x14ac:dyDescent="0.2">
      <c r="A140" s="193">
        <v>139</v>
      </c>
      <c r="B140" s="182" t="s">
        <v>294</v>
      </c>
      <c r="C140" s="182" t="s">
        <v>465</v>
      </c>
      <c r="D140" s="182" t="s">
        <v>396</v>
      </c>
      <c r="E140" s="194" t="s">
        <v>342</v>
      </c>
      <c r="F140" s="194" t="s">
        <v>515</v>
      </c>
      <c r="H140" s="182" t="s">
        <v>264</v>
      </c>
      <c r="I140" s="182" t="s">
        <v>249</v>
      </c>
      <c r="J140" s="184" t="s">
        <v>247</v>
      </c>
      <c r="K140" s="184" t="s">
        <v>245</v>
      </c>
      <c r="M140" s="270" t="str">
        <f t="shared" si="24"/>
        <v>C.II. Krátkodobé závazky      (ř. 124 + 127 až 133)</v>
      </c>
      <c r="N140" s="179" t="str">
        <f>IF(ISBLANK(H140),"-",CONCATENATE(TEXT(A140,"000")," ",B140))</f>
        <v xml:space="preserve">139 Dohadné účty pasivní </v>
      </c>
      <c r="O140" s="178" t="str">
        <f>IF(jazyk="česky",B140,IF(jazyk="anglicky",C140,IF(jazyk="německy",D140,"-")))</f>
        <v xml:space="preserve">Dohadné účty pasivní </v>
      </c>
    </row>
    <row r="141" spans="1:15" x14ac:dyDescent="0.2">
      <c r="A141" s="266">
        <v>140</v>
      </c>
      <c r="B141" s="182" t="s">
        <v>107</v>
      </c>
      <c r="C141" s="182" t="s">
        <v>466</v>
      </c>
      <c r="D141" s="182" t="s">
        <v>919</v>
      </c>
      <c r="E141" s="194" t="s">
        <v>342</v>
      </c>
      <c r="F141" s="194" t="s">
        <v>515</v>
      </c>
      <c r="H141" s="182" t="s">
        <v>264</v>
      </c>
      <c r="I141" s="182" t="s">
        <v>249</v>
      </c>
      <c r="J141" s="184" t="s">
        <v>247</v>
      </c>
      <c r="K141" s="184" t="s">
        <v>246</v>
      </c>
      <c r="M141" s="270" t="str">
        <f t="shared" si="24"/>
        <v>C.II. Krátkodobé závazky      (ř. 124 + 127 až 133)</v>
      </c>
      <c r="N141" s="179" t="str">
        <f>IF(ISBLANK(H141),"-",CONCATENATE(TEXT(A141,"000")," ",B141))</f>
        <v>140 Jiné závazky</v>
      </c>
      <c r="O141" s="178" t="str">
        <f>IF(jazyk="česky",B141,IF(jazyk="anglicky",C141,IF(jazyk="německy",D141,"-")))</f>
        <v>Jiné závazky</v>
      </c>
    </row>
    <row r="142" spans="1:15" x14ac:dyDescent="0.2">
      <c r="A142" s="193">
        <v>141</v>
      </c>
      <c r="B142" s="182" t="s">
        <v>926</v>
      </c>
      <c r="C142" s="182" t="s">
        <v>927</v>
      </c>
      <c r="D142" s="182" t="s">
        <v>928</v>
      </c>
      <c r="E142" s="194" t="s">
        <v>342</v>
      </c>
      <c r="F142" s="194" t="s">
        <v>515</v>
      </c>
      <c r="M142" s="270" t="str">
        <f t="shared" si="24"/>
        <v>-</v>
      </c>
      <c r="N142" s="179" t="str">
        <f t="shared" si="13"/>
        <v>-</v>
      </c>
      <c r="O142" s="178" t="str">
        <f t="shared" si="22"/>
        <v>Časové rozlišení pasiv      (ř. 142 + 143)</v>
      </c>
    </row>
    <row r="143" spans="1:15" x14ac:dyDescent="0.2">
      <c r="A143" s="266">
        <v>142</v>
      </c>
      <c r="B143" s="182" t="s">
        <v>110</v>
      </c>
      <c r="C143" s="182" t="s">
        <v>473</v>
      </c>
      <c r="D143" s="182" t="s">
        <v>403</v>
      </c>
      <c r="E143" s="194" t="s">
        <v>342</v>
      </c>
      <c r="F143" s="194" t="s">
        <v>515</v>
      </c>
      <c r="H143" s="182" t="s">
        <v>273</v>
      </c>
      <c r="I143" s="182" t="s">
        <v>240</v>
      </c>
      <c r="M143" s="270" t="str">
        <f t="shared" si="24"/>
        <v>D.1. Časové rozlišení pasiv      (ř. 142 + 143)</v>
      </c>
      <c r="N143" s="179" t="str">
        <f t="shared" si="13"/>
        <v>142 Výdaje příštích období</v>
      </c>
      <c r="O143" s="178" t="str">
        <f t="shared" si="22"/>
        <v>Výdaje příštích období</v>
      </c>
    </row>
    <row r="144" spans="1:15" x14ac:dyDescent="0.2">
      <c r="A144" s="193">
        <v>143</v>
      </c>
      <c r="B144" s="182" t="s">
        <v>295</v>
      </c>
      <c r="C144" s="182" t="s">
        <v>474</v>
      </c>
      <c r="D144" s="182" t="s">
        <v>404</v>
      </c>
      <c r="E144" s="194" t="s">
        <v>342</v>
      </c>
      <c r="F144" s="194" t="s">
        <v>515</v>
      </c>
      <c r="H144" s="182" t="s">
        <v>273</v>
      </c>
      <c r="I144" s="182" t="s">
        <v>241</v>
      </c>
      <c r="M144" s="270" t="str">
        <f t="shared" si="24"/>
        <v>D.1. Časové rozlišení pasiv      (ř. 142 + 143)</v>
      </c>
      <c r="N144" s="179" t="str">
        <f t="shared" si="13"/>
        <v xml:space="preserve">143 Výnosy příštích období </v>
      </c>
      <c r="O144" s="178" t="str">
        <f t="shared" si="22"/>
        <v xml:space="preserve">Výnosy příštích období </v>
      </c>
    </row>
  </sheetData>
  <pageMargins left="0.7" right="0.7" top="0.78740157499999996" bottom="0.78740157499999996" header="0.3" footer="0.3"/>
  <pageSetup orientation="portrait" horizontalDpi="4294967294" verticalDpi="30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outlinePr summaryBelow="0" summaryRight="0"/>
  </sheetPr>
  <dimension ref="A1:R57"/>
  <sheetViews>
    <sheetView showGridLines="0" workbookViewId="0">
      <pane ySplit="1" topLeftCell="A19" activePane="bottomLeft" state="frozen"/>
      <selection activeCell="B4" sqref="B4"/>
      <selection pane="bottomLeft" activeCell="B30" sqref="B30"/>
    </sheetView>
  </sheetViews>
  <sheetFormatPr defaultRowHeight="11.25" outlineLevelCol="1" x14ac:dyDescent="0.2"/>
  <cols>
    <col min="1" max="1" width="5.28515625" style="181" customWidth="1"/>
    <col min="2" max="2" width="45.140625" style="182" bestFit="1" customWidth="1" collapsed="1"/>
    <col min="3" max="4" width="45.140625" style="182" hidden="1" customWidth="1" outlineLevel="1"/>
    <col min="5" max="5" width="8.5703125" style="183" bestFit="1" customWidth="1"/>
    <col min="6" max="6" width="10.7109375" style="183" customWidth="1"/>
    <col min="7" max="7" width="6.5703125" style="183" customWidth="1"/>
    <col min="8" max="9" width="4.7109375" style="183" customWidth="1"/>
    <col min="10" max="10" width="4.7109375" style="199" customWidth="1"/>
    <col min="11" max="11" width="23.7109375" style="184" bestFit="1" customWidth="1"/>
    <col min="12" max="12" width="31.5703125" style="184" customWidth="1"/>
    <col min="13" max="13" width="62.140625" style="178" bestFit="1" customWidth="1"/>
    <col min="14" max="14" width="9.140625" style="179"/>
    <col min="15" max="18" width="9.140625" style="180"/>
    <col min="19" max="16384" width="9.140625" style="179"/>
  </cols>
  <sheetData>
    <row r="1" spans="1:13" x14ac:dyDescent="0.2">
      <c r="A1" s="174" t="s">
        <v>256</v>
      </c>
      <c r="B1" s="175" t="s">
        <v>287</v>
      </c>
      <c r="C1" s="175" t="s">
        <v>288</v>
      </c>
      <c r="D1" s="175" t="s">
        <v>289</v>
      </c>
      <c r="E1" s="176" t="s">
        <v>231</v>
      </c>
      <c r="F1" s="176" t="s">
        <v>512</v>
      </c>
      <c r="G1" s="176" t="s">
        <v>263</v>
      </c>
      <c r="H1" s="176" t="s">
        <v>232</v>
      </c>
      <c r="I1" s="176" t="s">
        <v>233</v>
      </c>
      <c r="J1" s="413" t="s">
        <v>234</v>
      </c>
      <c r="K1" s="178" t="s">
        <v>338</v>
      </c>
      <c r="L1" s="178" t="s">
        <v>339</v>
      </c>
      <c r="M1" s="178" t="s">
        <v>516</v>
      </c>
    </row>
    <row r="2" spans="1:13" x14ac:dyDescent="0.2">
      <c r="A2" s="190">
        <v>1</v>
      </c>
      <c r="B2" s="182" t="s">
        <v>703</v>
      </c>
      <c r="C2" s="182" t="s">
        <v>704</v>
      </c>
      <c r="D2" s="182" t="s">
        <v>490</v>
      </c>
      <c r="E2" s="183" t="s">
        <v>510</v>
      </c>
      <c r="F2" s="183" t="s">
        <v>513</v>
      </c>
      <c r="G2" s="183" t="s">
        <v>328</v>
      </c>
      <c r="H2" s="183" t="s">
        <v>239</v>
      </c>
      <c r="K2" s="179" t="s">
        <v>581</v>
      </c>
      <c r="L2" s="179" t="str">
        <f t="shared" ref="L2" si="0">IF(ISBLANK(G2),"-",CONCATENATE(TEXT(A2,"000")," ",B2))</f>
        <v>001 Tržby za prodej výrobků a služeb</v>
      </c>
      <c r="M2" s="178" t="str">
        <f t="shared" ref="M2:M7" si="1">IF(jazyk="česky",B2,IF(jazyk="anglicky",C2,IF(jazyk="německy",D2,"-")))</f>
        <v>Tržby za prodej výrobků a služeb</v>
      </c>
    </row>
    <row r="3" spans="1:13" x14ac:dyDescent="0.2">
      <c r="A3" s="190">
        <v>2</v>
      </c>
      <c r="B3" s="182" t="s">
        <v>304</v>
      </c>
      <c r="C3" s="182" t="s">
        <v>929</v>
      </c>
      <c r="D3" s="182" t="s">
        <v>930</v>
      </c>
      <c r="E3" s="183" t="s">
        <v>510</v>
      </c>
      <c r="F3" s="183" t="s">
        <v>513</v>
      </c>
      <c r="G3" s="183" t="s">
        <v>328</v>
      </c>
      <c r="H3" s="183" t="s">
        <v>249</v>
      </c>
      <c r="K3" s="179" t="s">
        <v>581</v>
      </c>
      <c r="L3" s="179" t="str">
        <f>IF(ISBLANK(G3),"-",CONCATENATE(TEXT(A3,"000")," ",B3))</f>
        <v xml:space="preserve">002 Tržby za prodej zboží </v>
      </c>
      <c r="M3" s="178" t="str">
        <f t="shared" si="1"/>
        <v xml:space="preserve">Tržby za prodej zboží </v>
      </c>
    </row>
    <row r="4" spans="1:13" x14ac:dyDescent="0.2">
      <c r="A4" s="190">
        <v>3</v>
      </c>
      <c r="B4" s="182" t="s">
        <v>705</v>
      </c>
      <c r="C4" s="182" t="s">
        <v>931</v>
      </c>
      <c r="D4" s="182" t="s">
        <v>932</v>
      </c>
      <c r="E4" s="183" t="s">
        <v>510</v>
      </c>
      <c r="F4" s="183" t="s">
        <v>511</v>
      </c>
      <c r="K4" s="179" t="s">
        <v>581</v>
      </c>
      <c r="L4" s="179" t="str">
        <f>IF(ISBLANK(G4),"-",CONCATENATE(TEXT(A4,"000")," ",B4))</f>
        <v>-</v>
      </c>
      <c r="M4" s="178" t="str">
        <f>IF(jazyk="česky",B4,IF(jazyk="anglicky",C4,IF(jazyk="německy",D4,"-")))</f>
        <v>Výkonová spotřeba</v>
      </c>
    </row>
    <row r="5" spans="1:13" x14ac:dyDescent="0.2">
      <c r="A5" s="190">
        <v>4</v>
      </c>
      <c r="B5" s="182" t="s">
        <v>305</v>
      </c>
      <c r="C5" s="182" t="s">
        <v>475</v>
      </c>
      <c r="D5" s="182" t="s">
        <v>489</v>
      </c>
      <c r="E5" s="183" t="s">
        <v>510</v>
      </c>
      <c r="F5" s="183" t="s">
        <v>511</v>
      </c>
      <c r="G5" s="183" t="s">
        <v>328</v>
      </c>
      <c r="H5" s="183" t="s">
        <v>237</v>
      </c>
      <c r="I5" s="183" t="s">
        <v>240</v>
      </c>
      <c r="K5" s="179" t="s">
        <v>581</v>
      </c>
      <c r="L5" s="179" t="str">
        <f t="shared" ref="L5:L7" si="2">IF(ISBLANK(G5),"-",CONCATENATE(TEXT(A5,"000")," ",B5))</f>
        <v>004 Náklady vynaložené na prodané zboží</v>
      </c>
      <c r="M5" s="178" t="str">
        <f t="shared" si="1"/>
        <v>Náklady vynaložené na prodané zboží</v>
      </c>
    </row>
    <row r="6" spans="1:13" x14ac:dyDescent="0.2">
      <c r="A6" s="190">
        <v>5</v>
      </c>
      <c r="B6" s="182" t="s">
        <v>306</v>
      </c>
      <c r="C6" s="182" t="s">
        <v>477</v>
      </c>
      <c r="D6" s="182" t="s">
        <v>492</v>
      </c>
      <c r="E6" s="183" t="s">
        <v>510</v>
      </c>
      <c r="F6" s="183" t="s">
        <v>511</v>
      </c>
      <c r="G6" s="183" t="s">
        <v>328</v>
      </c>
      <c r="H6" s="183" t="s">
        <v>237</v>
      </c>
      <c r="I6" s="183" t="s">
        <v>241</v>
      </c>
      <c r="K6" s="179" t="s">
        <v>581</v>
      </c>
      <c r="L6" s="179" t="str">
        <f t="shared" si="2"/>
        <v>005 Spotřeba materiálu a energie</v>
      </c>
      <c r="M6" s="178" t="str">
        <f t="shared" si="1"/>
        <v>Spotřeba materiálu a energie</v>
      </c>
    </row>
    <row r="7" spans="1:13" x14ac:dyDescent="0.2">
      <c r="A7" s="190">
        <v>6</v>
      </c>
      <c r="B7" s="182" t="s">
        <v>149</v>
      </c>
      <c r="C7" s="182" t="s">
        <v>478</v>
      </c>
      <c r="D7" s="182" t="s">
        <v>493</v>
      </c>
      <c r="E7" s="183" t="s">
        <v>510</v>
      </c>
      <c r="F7" s="183" t="s">
        <v>511</v>
      </c>
      <c r="G7" s="183" t="s">
        <v>328</v>
      </c>
      <c r="H7" s="183" t="s">
        <v>237</v>
      </c>
      <c r="I7" s="410" t="s">
        <v>242</v>
      </c>
      <c r="K7" s="179" t="s">
        <v>581</v>
      </c>
      <c r="L7" s="179" t="str">
        <f t="shared" si="2"/>
        <v>006 Služby</v>
      </c>
      <c r="M7" s="178" t="str">
        <f t="shared" si="1"/>
        <v>Služby</v>
      </c>
    </row>
    <row r="8" spans="1:13" x14ac:dyDescent="0.2">
      <c r="A8" s="190">
        <v>7</v>
      </c>
      <c r="B8" s="182" t="s">
        <v>933</v>
      </c>
      <c r="C8" s="182" t="s">
        <v>934</v>
      </c>
      <c r="D8" s="182" t="s">
        <v>935</v>
      </c>
      <c r="E8" s="183" t="s">
        <v>510</v>
      </c>
      <c r="F8" s="183" t="s">
        <v>511</v>
      </c>
      <c r="G8" s="183" t="s">
        <v>328</v>
      </c>
      <c r="H8" s="183" t="s">
        <v>238</v>
      </c>
      <c r="K8" s="179" t="s">
        <v>581</v>
      </c>
      <c r="L8" s="179" t="str">
        <f>IF(ISBLANK(G8),"-",CONCATENATE(TEXT(A8,"000")," ",B8))</f>
        <v>007 Změna stavu zásob vlastní činnosti      +/-</v>
      </c>
      <c r="M8" s="178" t="str">
        <f t="shared" ref="M8:M39" si="3">IF(jazyk="česky",B8,IF(jazyk="anglicky",C8,IF(jazyk="německy",D8,"-")))</f>
        <v>Změna stavu zásob vlastní činnosti      +/-</v>
      </c>
    </row>
    <row r="9" spans="1:13" x14ac:dyDescent="0.2">
      <c r="A9" s="190">
        <v>8</v>
      </c>
      <c r="B9" s="182" t="s">
        <v>201</v>
      </c>
      <c r="C9" s="182" t="s">
        <v>476</v>
      </c>
      <c r="D9" s="182" t="s">
        <v>491</v>
      </c>
      <c r="E9" s="183" t="s">
        <v>510</v>
      </c>
      <c r="F9" s="183" t="s">
        <v>513</v>
      </c>
      <c r="G9" s="183" t="s">
        <v>328</v>
      </c>
      <c r="H9" s="183" t="s">
        <v>264</v>
      </c>
      <c r="K9" s="179" t="s">
        <v>581</v>
      </c>
      <c r="L9" s="179" t="str">
        <f t="shared" ref="L9:L15" si="4">IF(ISBLANK(G9),"-",CONCATENATE(TEXT(A9,"000")," ",B9))</f>
        <v>008 Aktivace</v>
      </c>
      <c r="M9" s="178" t="str">
        <f t="shared" si="3"/>
        <v>Aktivace</v>
      </c>
    </row>
    <row r="10" spans="1:13" x14ac:dyDescent="0.2">
      <c r="A10" s="190">
        <v>9</v>
      </c>
      <c r="B10" s="182" t="s">
        <v>746</v>
      </c>
      <c r="C10" s="182" t="s">
        <v>936</v>
      </c>
      <c r="D10" s="182" t="s">
        <v>937</v>
      </c>
      <c r="E10" s="183" t="s">
        <v>510</v>
      </c>
      <c r="F10" s="183" t="s">
        <v>511</v>
      </c>
      <c r="G10" s="183" t="s">
        <v>328</v>
      </c>
      <c r="K10" s="179" t="s">
        <v>581</v>
      </c>
      <c r="L10" s="179" t="str">
        <f t="shared" si="4"/>
        <v>009 Osobní náklady</v>
      </c>
      <c r="M10" s="178" t="str">
        <f t="shared" si="3"/>
        <v>Osobní náklady</v>
      </c>
    </row>
    <row r="11" spans="1:13" x14ac:dyDescent="0.2">
      <c r="A11" s="190">
        <v>10</v>
      </c>
      <c r="B11" s="182" t="s">
        <v>154</v>
      </c>
      <c r="C11" s="182" t="s">
        <v>479</v>
      </c>
      <c r="D11" s="182" t="s">
        <v>494</v>
      </c>
      <c r="E11" s="183" t="s">
        <v>510</v>
      </c>
      <c r="F11" s="183" t="s">
        <v>511</v>
      </c>
      <c r="G11" s="183" t="s">
        <v>328</v>
      </c>
      <c r="H11" s="183" t="s">
        <v>273</v>
      </c>
      <c r="I11" s="183" t="s">
        <v>240</v>
      </c>
      <c r="K11" s="179" t="s">
        <v>581</v>
      </c>
      <c r="L11" s="179" t="str">
        <f t="shared" si="4"/>
        <v>010 Mzdové náklady</v>
      </c>
      <c r="M11" s="178" t="str">
        <f t="shared" si="3"/>
        <v>Mzdové náklady</v>
      </c>
    </row>
    <row r="12" spans="1:13" x14ac:dyDescent="0.2">
      <c r="A12" s="409">
        <v>11</v>
      </c>
      <c r="B12" s="182" t="s">
        <v>706</v>
      </c>
      <c r="C12" s="182" t="s">
        <v>708</v>
      </c>
      <c r="D12" s="182" t="s">
        <v>938</v>
      </c>
      <c r="E12" s="183" t="s">
        <v>510</v>
      </c>
      <c r="F12" s="183" t="s">
        <v>511</v>
      </c>
      <c r="I12" s="410"/>
      <c r="J12" s="414"/>
      <c r="K12" s="179" t="s">
        <v>581</v>
      </c>
      <c r="L12" s="179" t="str">
        <f t="shared" si="4"/>
        <v>-</v>
      </c>
      <c r="M12" s="178" t="str">
        <f t="shared" si="3"/>
        <v>Náklady na sociální zabezpečení, zdravotní pojištění a ostatní náklady</v>
      </c>
    </row>
    <row r="13" spans="1:13" x14ac:dyDescent="0.2">
      <c r="A13" s="190">
        <v>12</v>
      </c>
      <c r="B13" s="182" t="s">
        <v>307</v>
      </c>
      <c r="C13" s="182" t="s">
        <v>480</v>
      </c>
      <c r="D13" s="182" t="s">
        <v>495</v>
      </c>
      <c r="E13" s="183" t="s">
        <v>510</v>
      </c>
      <c r="F13" s="183" t="s">
        <v>511</v>
      </c>
      <c r="G13" s="183" t="s">
        <v>328</v>
      </c>
      <c r="H13" s="183" t="s">
        <v>273</v>
      </c>
      <c r="I13" s="183" t="s">
        <v>241</v>
      </c>
      <c r="J13" s="199" t="s">
        <v>240</v>
      </c>
      <c r="K13" s="179" t="s">
        <v>581</v>
      </c>
      <c r="L13" s="179" t="str">
        <f t="shared" si="4"/>
        <v>012 Náklady na sociální zabezpečení a zdravotní pojištění</v>
      </c>
      <c r="M13" s="178" t="str">
        <f t="shared" si="3"/>
        <v>Náklady na sociální zabezpečení a zdravotní pojištění</v>
      </c>
    </row>
    <row r="14" spans="1:13" x14ac:dyDescent="0.2">
      <c r="A14" s="409">
        <v>13</v>
      </c>
      <c r="B14" s="182" t="s">
        <v>707</v>
      </c>
      <c r="C14" s="182" t="s">
        <v>709</v>
      </c>
      <c r="D14" s="182" t="s">
        <v>939</v>
      </c>
      <c r="E14" s="183" t="s">
        <v>510</v>
      </c>
      <c r="F14" s="183" t="s">
        <v>511</v>
      </c>
      <c r="G14" s="183" t="s">
        <v>328</v>
      </c>
      <c r="H14" s="183" t="s">
        <v>273</v>
      </c>
      <c r="I14" s="183" t="s">
        <v>241</v>
      </c>
      <c r="J14" s="414" t="s">
        <v>241</v>
      </c>
      <c r="K14" s="179" t="s">
        <v>581</v>
      </c>
      <c r="L14" s="179" t="str">
        <f t="shared" si="4"/>
        <v>013 Ostatní náklady</v>
      </c>
      <c r="M14" s="178" t="str">
        <f t="shared" si="3"/>
        <v>Ostatní náklady</v>
      </c>
    </row>
    <row r="15" spans="1:13" x14ac:dyDescent="0.2">
      <c r="A15" s="190">
        <v>14</v>
      </c>
      <c r="B15" s="182" t="s">
        <v>710</v>
      </c>
      <c r="C15" s="182" t="s">
        <v>940</v>
      </c>
      <c r="D15" s="182" t="s">
        <v>941</v>
      </c>
      <c r="E15" s="183" t="s">
        <v>510</v>
      </c>
      <c r="F15" s="183" t="s">
        <v>511</v>
      </c>
      <c r="K15" s="179" t="s">
        <v>581</v>
      </c>
      <c r="L15" s="179" t="str">
        <f t="shared" si="4"/>
        <v>-</v>
      </c>
      <c r="M15" s="178" t="str">
        <f t="shared" si="3"/>
        <v>Úpravy hodnot v provozní oblasti</v>
      </c>
    </row>
    <row r="16" spans="1:13" x14ac:dyDescent="0.2">
      <c r="A16" s="409">
        <v>15</v>
      </c>
      <c r="B16" s="182" t="s">
        <v>743</v>
      </c>
      <c r="C16" s="182" t="s">
        <v>942</v>
      </c>
      <c r="D16" s="182" t="s">
        <v>943</v>
      </c>
      <c r="E16" s="183" t="s">
        <v>510</v>
      </c>
      <c r="F16" s="183" t="s">
        <v>511</v>
      </c>
      <c r="K16" s="179"/>
      <c r="L16" s="179" t="str">
        <f>IF(ISBLANK(G16),"-",CONCATENATE(TEXT(A16,"000")," ",B16))</f>
        <v>-</v>
      </c>
      <c r="M16" s="178" t="str">
        <f t="shared" si="3"/>
        <v>Úpravy hodnot dlouhodobého nehmotného a hmotného majetku</v>
      </c>
    </row>
    <row r="17" spans="1:13" x14ac:dyDescent="0.2">
      <c r="A17" s="190">
        <v>16</v>
      </c>
      <c r="B17" s="182" t="s">
        <v>711</v>
      </c>
      <c r="C17" s="182" t="s">
        <v>944</v>
      </c>
      <c r="D17" s="182" t="s">
        <v>945</v>
      </c>
      <c r="E17" s="183" t="s">
        <v>510</v>
      </c>
      <c r="F17" s="183" t="s">
        <v>511</v>
      </c>
      <c r="G17" s="183" t="s">
        <v>328</v>
      </c>
      <c r="H17" s="183" t="s">
        <v>310</v>
      </c>
      <c r="I17" s="183" t="s">
        <v>240</v>
      </c>
      <c r="J17" s="199" t="s">
        <v>240</v>
      </c>
      <c r="K17" s="179" t="s">
        <v>581</v>
      </c>
      <c r="L17" s="179" t="str">
        <f t="shared" ref="L17:L57" si="5">IF(ISBLANK(G17),"-",CONCATENATE(TEXT(A17,"000")," ",B17))</f>
        <v>016 Úpravy hodnot dlouhodobého nehmotného a hmotného majetku - trvalé</v>
      </c>
      <c r="M17" s="178" t="str">
        <f t="shared" si="3"/>
        <v>Úpravy hodnot dlouhodobého nehmotného a hmotného majetku - trvalé</v>
      </c>
    </row>
    <row r="18" spans="1:13" x14ac:dyDescent="0.2">
      <c r="A18" s="409">
        <v>17</v>
      </c>
      <c r="B18" s="182" t="s">
        <v>712</v>
      </c>
      <c r="C18" s="182" t="s">
        <v>946</v>
      </c>
      <c r="D18" s="182" t="s">
        <v>947</v>
      </c>
      <c r="E18" s="183" t="s">
        <v>510</v>
      </c>
      <c r="F18" s="183" t="s">
        <v>511</v>
      </c>
      <c r="G18" s="183" t="s">
        <v>328</v>
      </c>
      <c r="H18" s="183" t="s">
        <v>310</v>
      </c>
      <c r="I18" s="183" t="s">
        <v>240</v>
      </c>
      <c r="J18" s="414" t="s">
        <v>241</v>
      </c>
      <c r="K18" s="179" t="s">
        <v>581</v>
      </c>
      <c r="L18" s="179" t="str">
        <f t="shared" si="5"/>
        <v>017 Úpravy hodnot dlouhodobého nehmotného a hmotného majetku - dočasné</v>
      </c>
      <c r="M18" s="178" t="str">
        <f t="shared" si="3"/>
        <v>Úpravy hodnot dlouhodobého nehmotného a hmotného majetku - dočasné</v>
      </c>
    </row>
    <row r="19" spans="1:13" x14ac:dyDescent="0.2">
      <c r="A19" s="409">
        <v>18</v>
      </c>
      <c r="B19" s="182" t="s">
        <v>713</v>
      </c>
      <c r="C19" s="182" t="s">
        <v>948</v>
      </c>
      <c r="D19" s="182" t="s">
        <v>949</v>
      </c>
      <c r="E19" s="183" t="s">
        <v>510</v>
      </c>
      <c r="F19" s="183" t="s">
        <v>511</v>
      </c>
      <c r="G19" s="183" t="s">
        <v>328</v>
      </c>
      <c r="H19" s="183" t="s">
        <v>310</v>
      </c>
      <c r="I19" s="183" t="s">
        <v>241</v>
      </c>
      <c r="K19" s="179" t="s">
        <v>581</v>
      </c>
      <c r="L19" s="179" t="str">
        <f t="shared" si="5"/>
        <v>018 Úpravy hodnot zásob</v>
      </c>
      <c r="M19" s="178" t="str">
        <f t="shared" si="3"/>
        <v>Úpravy hodnot zásob</v>
      </c>
    </row>
    <row r="20" spans="1:13" x14ac:dyDescent="0.2">
      <c r="A20" s="190">
        <v>19</v>
      </c>
      <c r="B20" s="182" t="s">
        <v>714</v>
      </c>
      <c r="C20" s="182" t="s">
        <v>950</v>
      </c>
      <c r="D20" s="182" t="s">
        <v>951</v>
      </c>
      <c r="E20" s="183" t="s">
        <v>510</v>
      </c>
      <c r="F20" s="183" t="s">
        <v>511</v>
      </c>
      <c r="G20" s="183" t="s">
        <v>328</v>
      </c>
      <c r="H20" s="183" t="s">
        <v>310</v>
      </c>
      <c r="I20" s="183" t="s">
        <v>242</v>
      </c>
      <c r="K20" s="179" t="s">
        <v>581</v>
      </c>
      <c r="L20" s="179" t="str">
        <f t="shared" si="5"/>
        <v>019 Úpravy hodnot pohledávek</v>
      </c>
      <c r="M20" s="178" t="str">
        <f t="shared" si="3"/>
        <v>Úpravy hodnot pohledávek</v>
      </c>
    </row>
    <row r="21" spans="1:13" x14ac:dyDescent="0.2">
      <c r="A21" s="409">
        <v>20</v>
      </c>
      <c r="B21" s="182" t="s">
        <v>209</v>
      </c>
      <c r="C21" s="182" t="s">
        <v>484</v>
      </c>
      <c r="D21" s="182" t="s">
        <v>500</v>
      </c>
      <c r="E21" s="183" t="s">
        <v>510</v>
      </c>
      <c r="F21" s="183" t="s">
        <v>513</v>
      </c>
      <c r="K21" s="179" t="s">
        <v>581</v>
      </c>
      <c r="L21" s="179" t="str">
        <f>IF(ISBLANK(G21),"-",CONCATENATE(TEXT(A21,"000")," ",B21))</f>
        <v>-</v>
      </c>
      <c r="M21" s="178" t="str">
        <f t="shared" si="3"/>
        <v>Ostatní provozní výnosy</v>
      </c>
    </row>
    <row r="22" spans="1:13" x14ac:dyDescent="0.2">
      <c r="A22" s="190">
        <v>21</v>
      </c>
      <c r="B22" s="182" t="s">
        <v>716</v>
      </c>
      <c r="C22" s="182" t="s">
        <v>482</v>
      </c>
      <c r="D22" s="182" t="s">
        <v>497</v>
      </c>
      <c r="E22" s="183" t="s">
        <v>510</v>
      </c>
      <c r="F22" s="183" t="s">
        <v>513</v>
      </c>
      <c r="G22" s="183" t="s">
        <v>328</v>
      </c>
      <c r="H22" s="183" t="s">
        <v>254</v>
      </c>
      <c r="I22" s="183" t="s">
        <v>240</v>
      </c>
      <c r="K22" s="179" t="s">
        <v>581</v>
      </c>
      <c r="L22" s="179" t="str">
        <f>IF(ISBLANK(G22),"-",CONCATENATE(TEXT(A22,"000")," ",B22))</f>
        <v xml:space="preserve">021 Tržby z prodaného dlouhodobého majetku </v>
      </c>
      <c r="M22" s="178" t="str">
        <f t="shared" si="3"/>
        <v xml:space="preserve">Tržby z prodaného dlouhodobého majetku </v>
      </c>
    </row>
    <row r="23" spans="1:13" x14ac:dyDescent="0.2">
      <c r="A23" s="409">
        <v>22</v>
      </c>
      <c r="B23" s="182" t="s">
        <v>717</v>
      </c>
      <c r="C23" s="182" t="s">
        <v>483</v>
      </c>
      <c r="D23" s="182" t="s">
        <v>498</v>
      </c>
      <c r="E23" s="183" t="s">
        <v>510</v>
      </c>
      <c r="F23" s="183" t="s">
        <v>513</v>
      </c>
      <c r="G23" s="183" t="s">
        <v>328</v>
      </c>
      <c r="H23" s="183" t="s">
        <v>254</v>
      </c>
      <c r="I23" s="183" t="s">
        <v>241</v>
      </c>
      <c r="K23" s="179" t="s">
        <v>581</v>
      </c>
      <c r="L23" s="179" t="str">
        <f>IF(ISBLANK(G23),"-",CONCATENATE(TEXT(A23,"000")," ",B23))</f>
        <v>022 Tržby z prodaného materiálu</v>
      </c>
      <c r="M23" s="178" t="str">
        <f t="shared" si="3"/>
        <v>Tržby z prodaného materiálu</v>
      </c>
    </row>
    <row r="24" spans="1:13" x14ac:dyDescent="0.2">
      <c r="A24" s="409">
        <v>23</v>
      </c>
      <c r="B24" s="182" t="s">
        <v>715</v>
      </c>
      <c r="C24" s="182" t="s">
        <v>952</v>
      </c>
      <c r="D24" s="182" t="s">
        <v>953</v>
      </c>
      <c r="E24" s="183" t="s">
        <v>510</v>
      </c>
      <c r="F24" s="183" t="s">
        <v>513</v>
      </c>
      <c r="G24" s="183" t="s">
        <v>328</v>
      </c>
      <c r="H24" s="183" t="s">
        <v>254</v>
      </c>
      <c r="I24" s="183" t="s">
        <v>242</v>
      </c>
      <c r="K24" s="179" t="s">
        <v>581</v>
      </c>
      <c r="L24" s="179" t="str">
        <f t="shared" ref="L24" si="6">IF(ISBLANK(G24),"-",CONCATENATE(TEXT(A24,"000")," ",B24))</f>
        <v>023 Jiné provozní výnosy</v>
      </c>
      <c r="M24" s="178" t="str">
        <f t="shared" si="3"/>
        <v>Jiné provozní výnosy</v>
      </c>
    </row>
    <row r="25" spans="1:13" x14ac:dyDescent="0.2">
      <c r="A25" s="190">
        <v>24</v>
      </c>
      <c r="B25" s="182" t="s">
        <v>171</v>
      </c>
      <c r="C25" s="182" t="s">
        <v>485</v>
      </c>
      <c r="D25" s="182" t="s">
        <v>501</v>
      </c>
      <c r="E25" s="183" t="s">
        <v>510</v>
      </c>
      <c r="F25" s="183" t="s">
        <v>511</v>
      </c>
      <c r="K25" s="179" t="s">
        <v>581</v>
      </c>
      <c r="L25" s="179" t="str">
        <f>IF(ISBLANK(G25),"-",CONCATENATE(TEXT(A25,"000")," ",B25))</f>
        <v>-</v>
      </c>
      <c r="M25" s="178" t="str">
        <f t="shared" si="3"/>
        <v>Ostatní provozní náklady</v>
      </c>
    </row>
    <row r="26" spans="1:13" x14ac:dyDescent="0.2">
      <c r="A26" s="409">
        <v>25</v>
      </c>
      <c r="B26" s="182" t="s">
        <v>308</v>
      </c>
      <c r="C26" s="182" t="s">
        <v>954</v>
      </c>
      <c r="D26" s="182" t="s">
        <v>499</v>
      </c>
      <c r="E26" s="183" t="s">
        <v>510</v>
      </c>
      <c r="F26" s="183" t="s">
        <v>511</v>
      </c>
      <c r="G26" s="183" t="s">
        <v>328</v>
      </c>
      <c r="H26" s="183" t="s">
        <v>311</v>
      </c>
      <c r="I26" s="183" t="s">
        <v>240</v>
      </c>
      <c r="K26" s="179" t="s">
        <v>581</v>
      </c>
      <c r="L26" s="179" t="str">
        <f>IF(ISBLANK(G26),"-",CONCATENATE(TEXT(A26,"000")," ",B26))</f>
        <v>025 Zůstatková cena prodaného dlouhodobého majetku</v>
      </c>
      <c r="M26" s="178" t="str">
        <f t="shared" si="3"/>
        <v>Zůstatková cena prodaného dlouhodobého majetku</v>
      </c>
    </row>
    <row r="27" spans="1:13" x14ac:dyDescent="0.2">
      <c r="A27" s="190">
        <v>26</v>
      </c>
      <c r="B27" s="182" t="s">
        <v>719</v>
      </c>
      <c r="C27" s="182" t="s">
        <v>720</v>
      </c>
      <c r="D27" s="182" t="s">
        <v>955</v>
      </c>
      <c r="E27" s="183" t="s">
        <v>510</v>
      </c>
      <c r="F27" s="183" t="s">
        <v>511</v>
      </c>
      <c r="G27" s="183" t="s">
        <v>328</v>
      </c>
      <c r="H27" s="183" t="s">
        <v>311</v>
      </c>
      <c r="I27" s="183" t="s">
        <v>241</v>
      </c>
      <c r="K27" s="179" t="s">
        <v>581</v>
      </c>
      <c r="L27" s="179" t="str">
        <f>IF(ISBLANK(G27),"-",CONCATENATE(TEXT(A27,"000")," ",B27))</f>
        <v>026 Zůstatková cena prodaného materiálu</v>
      </c>
      <c r="M27" s="178" t="str">
        <f t="shared" si="3"/>
        <v>Zůstatková cena prodaného materiálu</v>
      </c>
    </row>
    <row r="28" spans="1:13" x14ac:dyDescent="0.2">
      <c r="A28" s="409">
        <v>27</v>
      </c>
      <c r="B28" s="182" t="s">
        <v>162</v>
      </c>
      <c r="C28" s="182" t="s">
        <v>481</v>
      </c>
      <c r="D28" s="182" t="s">
        <v>496</v>
      </c>
      <c r="E28" s="183" t="s">
        <v>510</v>
      </c>
      <c r="F28" s="183" t="s">
        <v>511</v>
      </c>
      <c r="G28" s="183" t="s">
        <v>328</v>
      </c>
      <c r="H28" s="183" t="s">
        <v>311</v>
      </c>
      <c r="I28" s="183" t="s">
        <v>242</v>
      </c>
      <c r="K28" s="179" t="s">
        <v>581</v>
      </c>
      <c r="L28" s="179" t="str">
        <f>IF(ISBLANK(G28),"-",CONCATENATE(TEXT(A28,"000")," ",B28))</f>
        <v>027 Daně a poplatky</v>
      </c>
      <c r="M28" s="178" t="str">
        <f t="shared" si="3"/>
        <v>Daně a poplatky</v>
      </c>
    </row>
    <row r="29" spans="1:13" x14ac:dyDescent="0.2">
      <c r="A29" s="409">
        <v>28</v>
      </c>
      <c r="B29" s="182" t="s">
        <v>721</v>
      </c>
      <c r="C29" s="182" t="s">
        <v>722</v>
      </c>
      <c r="D29" s="182" t="s">
        <v>956</v>
      </c>
      <c r="E29" s="183" t="s">
        <v>510</v>
      </c>
      <c r="F29" s="183" t="s">
        <v>511</v>
      </c>
      <c r="G29" s="183" t="s">
        <v>328</v>
      </c>
      <c r="H29" s="183" t="s">
        <v>311</v>
      </c>
      <c r="I29" s="183" t="s">
        <v>243</v>
      </c>
      <c r="K29" s="179" t="s">
        <v>581</v>
      </c>
      <c r="L29" s="179" t="str">
        <f>IF(ISBLANK(G29),"-",CONCATENATE(TEXT(A29,"000")," ",B29))</f>
        <v>028 Rezervy v provozní oblasti a komplexní náklady příštích období</v>
      </c>
      <c r="M29" s="178" t="str">
        <f t="shared" si="3"/>
        <v>Rezervy v provozní oblasti a komplexní náklady příštích období</v>
      </c>
    </row>
    <row r="30" spans="1:13" x14ac:dyDescent="0.2">
      <c r="A30" s="190">
        <v>29</v>
      </c>
      <c r="B30" s="182" t="s">
        <v>718</v>
      </c>
      <c r="C30" s="182" t="s">
        <v>957</v>
      </c>
      <c r="D30" s="182" t="s">
        <v>958</v>
      </c>
      <c r="E30" s="183" t="s">
        <v>510</v>
      </c>
      <c r="F30" s="183" t="s">
        <v>511</v>
      </c>
      <c r="G30" s="183" t="s">
        <v>328</v>
      </c>
      <c r="H30" s="183" t="s">
        <v>311</v>
      </c>
      <c r="I30" s="183" t="s">
        <v>244</v>
      </c>
      <c r="K30" s="179" t="s">
        <v>581</v>
      </c>
      <c r="L30" s="179" t="str">
        <f t="shared" ref="L30" si="7">IF(ISBLANK(G30),"-",CONCATENATE(TEXT(A30,"000")," ",B30))</f>
        <v>029 Jiné provozní náklady</v>
      </c>
      <c r="M30" s="178" t="str">
        <f t="shared" si="3"/>
        <v>Jiné provozní náklady</v>
      </c>
    </row>
    <row r="31" spans="1:13" x14ac:dyDescent="0.2">
      <c r="A31" s="409">
        <v>30</v>
      </c>
      <c r="B31" s="182" t="s">
        <v>959</v>
      </c>
      <c r="C31" s="182" t="s">
        <v>960</v>
      </c>
      <c r="D31" s="182" t="s">
        <v>961</v>
      </c>
      <c r="E31" s="183" t="s">
        <v>510</v>
      </c>
      <c r="F31" s="183" t="s">
        <v>309</v>
      </c>
      <c r="K31" s="179" t="s">
        <v>581</v>
      </c>
      <c r="L31" s="179" t="str">
        <f t="shared" ref="L31:L36" si="8">IF(ISBLANK(G31),"-",CONCATENATE(TEXT(A31,"000")," ",B31))</f>
        <v>-</v>
      </c>
      <c r="M31" s="178" t="str">
        <f t="shared" si="3"/>
        <v>Provozní výsledek hospodaření      +/-</v>
      </c>
    </row>
    <row r="32" spans="1:13" x14ac:dyDescent="0.2">
      <c r="A32" s="190">
        <v>31</v>
      </c>
      <c r="B32" s="182" t="s">
        <v>723</v>
      </c>
      <c r="C32" s="182" t="s">
        <v>962</v>
      </c>
      <c r="D32" s="182" t="s">
        <v>963</v>
      </c>
      <c r="E32" s="183" t="s">
        <v>510</v>
      </c>
      <c r="F32" s="183" t="s">
        <v>513</v>
      </c>
      <c r="G32" s="183" t="s">
        <v>328</v>
      </c>
      <c r="K32" s="179" t="s">
        <v>581</v>
      </c>
      <c r="L32" s="179" t="str">
        <f t="shared" si="8"/>
        <v>031 Výnosy z dlouhodobého finančního majetku - podíly</v>
      </c>
      <c r="M32" s="178" t="str">
        <f t="shared" si="3"/>
        <v>Výnosy z dlouhodobého finančního majetku - podíly</v>
      </c>
    </row>
    <row r="33" spans="1:13" x14ac:dyDescent="0.2">
      <c r="A33" s="409">
        <v>32</v>
      </c>
      <c r="B33" s="182" t="s">
        <v>724</v>
      </c>
      <c r="C33" s="182" t="s">
        <v>964</v>
      </c>
      <c r="D33" s="182" t="s">
        <v>965</v>
      </c>
      <c r="E33" s="183" t="s">
        <v>510</v>
      </c>
      <c r="F33" s="183" t="s">
        <v>513</v>
      </c>
      <c r="G33" s="183" t="s">
        <v>328</v>
      </c>
      <c r="H33" s="183" t="s">
        <v>272</v>
      </c>
      <c r="I33" s="183" t="s">
        <v>240</v>
      </c>
      <c r="K33" s="179" t="s">
        <v>581</v>
      </c>
      <c r="L33" s="179" t="str">
        <f t="shared" si="8"/>
        <v>032 Výnosy z podílů - ovládaná nebo ovládající osoba</v>
      </c>
      <c r="M33" s="178" t="str">
        <f t="shared" si="3"/>
        <v>Výnosy z podílů - ovládaná nebo ovládající osoba</v>
      </c>
    </row>
    <row r="34" spans="1:13" x14ac:dyDescent="0.2">
      <c r="A34" s="409">
        <v>33</v>
      </c>
      <c r="B34" s="182" t="s">
        <v>725</v>
      </c>
      <c r="C34" s="182" t="s">
        <v>966</v>
      </c>
      <c r="D34" s="182" t="s">
        <v>967</v>
      </c>
      <c r="E34" s="183" t="s">
        <v>510</v>
      </c>
      <c r="F34" s="183" t="s">
        <v>513</v>
      </c>
      <c r="G34" s="183" t="s">
        <v>328</v>
      </c>
      <c r="H34" s="183" t="s">
        <v>272</v>
      </c>
      <c r="I34" s="183" t="s">
        <v>241</v>
      </c>
      <c r="K34" s="179" t="s">
        <v>581</v>
      </c>
      <c r="L34" s="179" t="str">
        <f t="shared" si="8"/>
        <v>033 Ostatní výnosy z podílů</v>
      </c>
      <c r="M34" s="178" t="str">
        <f t="shared" si="3"/>
        <v>Ostatní výnosy z podílů</v>
      </c>
    </row>
    <row r="35" spans="1:13" x14ac:dyDescent="0.2">
      <c r="A35" s="190">
        <v>34</v>
      </c>
      <c r="B35" s="182" t="s">
        <v>726</v>
      </c>
      <c r="C35" s="182" t="s">
        <v>486</v>
      </c>
      <c r="D35" s="182" t="s">
        <v>968</v>
      </c>
      <c r="E35" s="183" t="s">
        <v>510</v>
      </c>
      <c r="F35" s="183" t="s">
        <v>511</v>
      </c>
      <c r="G35" s="183" t="s">
        <v>328</v>
      </c>
      <c r="H35" s="183" t="s">
        <v>312</v>
      </c>
      <c r="K35" s="179" t="s">
        <v>581</v>
      </c>
      <c r="L35" s="179" t="str">
        <f t="shared" si="8"/>
        <v>034 Náklady vynaložené na prodané podíly</v>
      </c>
      <c r="M35" s="178" t="str">
        <f t="shared" si="3"/>
        <v>Náklady vynaložené na prodané podíly</v>
      </c>
    </row>
    <row r="36" spans="1:13" x14ac:dyDescent="0.2">
      <c r="A36" s="409">
        <v>35</v>
      </c>
      <c r="B36" s="182" t="s">
        <v>321</v>
      </c>
      <c r="C36" s="182" t="s">
        <v>969</v>
      </c>
      <c r="D36" s="182" t="s">
        <v>970</v>
      </c>
      <c r="E36" s="183" t="s">
        <v>510</v>
      </c>
      <c r="F36" s="183" t="s">
        <v>513</v>
      </c>
      <c r="G36" s="183" t="s">
        <v>328</v>
      </c>
      <c r="K36" s="179" t="s">
        <v>581</v>
      </c>
      <c r="L36" s="179" t="str">
        <f t="shared" si="8"/>
        <v>035 Výnosy z ostatního dlouhodobého finančního majetku</v>
      </c>
      <c r="M36" s="178" t="str">
        <f t="shared" si="3"/>
        <v>Výnosy z ostatního dlouhodobého finančního majetku</v>
      </c>
    </row>
    <row r="37" spans="1:13" x14ac:dyDescent="0.2">
      <c r="A37" s="190">
        <v>36</v>
      </c>
      <c r="B37" s="182" t="s">
        <v>727</v>
      </c>
      <c r="C37" s="182" t="s">
        <v>971</v>
      </c>
      <c r="D37" s="182" t="s">
        <v>972</v>
      </c>
      <c r="E37" s="183" t="s">
        <v>510</v>
      </c>
      <c r="F37" s="183" t="s">
        <v>513</v>
      </c>
      <c r="G37" s="183" t="s">
        <v>328</v>
      </c>
      <c r="H37" s="183" t="s">
        <v>280</v>
      </c>
      <c r="I37" s="183" t="s">
        <v>240</v>
      </c>
      <c r="K37" s="179" t="s">
        <v>581</v>
      </c>
      <c r="L37" s="179" t="str">
        <f t="shared" si="5"/>
        <v>036 Výnosy z ostatního dlouhodobého finančního majetku - ovládaná nebo ovládající osoba</v>
      </c>
      <c r="M37" s="178" t="str">
        <f t="shared" si="3"/>
        <v>Výnosy z ostatního dlouhodobého finančního majetku - ovládaná nebo ovládající osoba</v>
      </c>
    </row>
    <row r="38" spans="1:13" x14ac:dyDescent="0.2">
      <c r="A38" s="409">
        <v>37</v>
      </c>
      <c r="B38" s="182" t="s">
        <v>728</v>
      </c>
      <c r="C38" s="182" t="s">
        <v>973</v>
      </c>
      <c r="D38" s="182" t="s">
        <v>974</v>
      </c>
      <c r="E38" s="183" t="s">
        <v>510</v>
      </c>
      <c r="F38" s="183" t="s">
        <v>513</v>
      </c>
      <c r="G38" s="183" t="s">
        <v>328</v>
      </c>
      <c r="H38" s="410" t="s">
        <v>280</v>
      </c>
      <c r="I38" s="183" t="s">
        <v>241</v>
      </c>
      <c r="J38" s="414"/>
      <c r="K38" s="179" t="s">
        <v>581</v>
      </c>
      <c r="L38" s="411" t="str">
        <f>IF(ISBLANK(G38),"-",CONCATENATE(TEXT(A38,"000")," ",B38))</f>
        <v>037 Ostatní výnosy z ostatního dlouhodobého finančního majetku</v>
      </c>
      <c r="M38" s="412" t="str">
        <f t="shared" si="3"/>
        <v>Ostatní výnosy z ostatního dlouhodobého finančního majetku</v>
      </c>
    </row>
    <row r="39" spans="1:13" x14ac:dyDescent="0.2">
      <c r="A39" s="409">
        <v>38</v>
      </c>
      <c r="B39" s="182" t="s">
        <v>729</v>
      </c>
      <c r="C39" s="182" t="s">
        <v>975</v>
      </c>
      <c r="D39" s="182" t="s">
        <v>976</v>
      </c>
      <c r="E39" s="183" t="s">
        <v>510</v>
      </c>
      <c r="F39" s="183" t="s">
        <v>513</v>
      </c>
      <c r="G39" s="183" t="s">
        <v>328</v>
      </c>
      <c r="H39" s="410" t="s">
        <v>313</v>
      </c>
      <c r="I39" s="410"/>
      <c r="J39" s="414"/>
      <c r="K39" s="179" t="s">
        <v>581</v>
      </c>
      <c r="L39" s="411" t="str">
        <f>IF(ISBLANK(G39),"-",CONCATENATE(TEXT(A39,"000")," ",B39))</f>
        <v>038 Náklady související s ostatním dlouhodobým finančním majetkem</v>
      </c>
      <c r="M39" s="412" t="str">
        <f t="shared" si="3"/>
        <v>Náklady související s ostatním dlouhodobým finančním majetkem</v>
      </c>
    </row>
    <row r="40" spans="1:13" x14ac:dyDescent="0.2">
      <c r="A40" s="190">
        <v>39</v>
      </c>
      <c r="B40" s="182" t="s">
        <v>730</v>
      </c>
      <c r="C40" s="182" t="s">
        <v>731</v>
      </c>
      <c r="D40" s="182" t="s">
        <v>977</v>
      </c>
      <c r="E40" s="183" t="s">
        <v>510</v>
      </c>
      <c r="F40" s="183" t="s">
        <v>513</v>
      </c>
      <c r="G40" s="183" t="s">
        <v>328</v>
      </c>
      <c r="K40" s="179" t="s">
        <v>581</v>
      </c>
      <c r="L40" s="179" t="str">
        <f>IF(ISBLANK(G40),"-",CONCATENATE(TEXT(A40,"000")," ",B40))</f>
        <v>039 Výnosové úroky a podobné výnosy</v>
      </c>
      <c r="M40" s="178" t="str">
        <f t="shared" ref="M40:M57" si="9">IF(jazyk="česky",B40,IF(jazyk="anglicky",C40,IF(jazyk="německy",D40,"-")))</f>
        <v>Výnosové úroky a podobné výnosy</v>
      </c>
    </row>
    <row r="41" spans="1:13" x14ac:dyDescent="0.2">
      <c r="A41" s="409">
        <v>40</v>
      </c>
      <c r="B41" s="182" t="s">
        <v>732</v>
      </c>
      <c r="C41" s="182" t="s">
        <v>978</v>
      </c>
      <c r="D41" s="182" t="s">
        <v>979</v>
      </c>
      <c r="E41" s="183" t="s">
        <v>510</v>
      </c>
      <c r="F41" s="183" t="s">
        <v>513</v>
      </c>
      <c r="G41" s="183" t="s">
        <v>328</v>
      </c>
      <c r="H41" s="410" t="s">
        <v>322</v>
      </c>
      <c r="I41" s="183" t="s">
        <v>240</v>
      </c>
      <c r="J41" s="414"/>
      <c r="K41" s="179" t="s">
        <v>581</v>
      </c>
      <c r="L41" s="411" t="str">
        <f>IF(ISBLANK(G41),"-",CONCATENATE(TEXT(A41,"000")," ",B41))</f>
        <v>040 Výnosové úroky a podobné výnosy - ovládaná nebo ovládající osoba</v>
      </c>
      <c r="M41" s="412" t="str">
        <f t="shared" si="9"/>
        <v>Výnosové úroky a podobné výnosy - ovládaná nebo ovládající osoba</v>
      </c>
    </row>
    <row r="42" spans="1:13" x14ac:dyDescent="0.2">
      <c r="A42" s="190">
        <v>41</v>
      </c>
      <c r="B42" s="182" t="s">
        <v>733</v>
      </c>
      <c r="C42" s="182" t="s">
        <v>980</v>
      </c>
      <c r="D42" s="182" t="s">
        <v>981</v>
      </c>
      <c r="E42" s="183" t="s">
        <v>510</v>
      </c>
      <c r="F42" s="183" t="s">
        <v>513</v>
      </c>
      <c r="G42" s="183" t="s">
        <v>328</v>
      </c>
      <c r="H42" s="410" t="s">
        <v>322</v>
      </c>
      <c r="I42" s="183" t="s">
        <v>241</v>
      </c>
      <c r="J42" s="414"/>
      <c r="K42" s="411"/>
      <c r="L42" s="411" t="str">
        <f t="shared" ref="L42" si="10">IF(ISBLANK(G42),"-",CONCATENATE(TEXT(A42,"000")," ",B42))</f>
        <v>041 Ostatní výnosové úroky a podobné výnosy</v>
      </c>
      <c r="M42" s="412" t="str">
        <f t="shared" si="9"/>
        <v>Ostatní výnosové úroky a podobné výnosy</v>
      </c>
    </row>
    <row r="43" spans="1:13" x14ac:dyDescent="0.2">
      <c r="A43" s="409">
        <v>42</v>
      </c>
      <c r="B43" s="182" t="s">
        <v>734</v>
      </c>
      <c r="C43" s="182" t="s">
        <v>982</v>
      </c>
      <c r="D43" s="182" t="s">
        <v>983</v>
      </c>
      <c r="E43" s="183" t="s">
        <v>510</v>
      </c>
      <c r="F43" s="183" t="s">
        <v>511</v>
      </c>
      <c r="G43" s="183" t="s">
        <v>328</v>
      </c>
      <c r="H43" s="183" t="s">
        <v>239</v>
      </c>
      <c r="K43" s="179" t="s">
        <v>581</v>
      </c>
      <c r="L43" s="179" t="str">
        <f t="shared" ref="L43:L56" si="11">IF(ISBLANK(G43),"-",CONCATENATE(TEXT(A43,"000")," ",B43))</f>
        <v>042 Úpravy hodnot a rezervy ve finanční oblasti</v>
      </c>
      <c r="M43" s="178" t="str">
        <f t="shared" si="9"/>
        <v>Úpravy hodnot a rezervy ve finanční oblasti</v>
      </c>
    </row>
    <row r="44" spans="1:13" x14ac:dyDescent="0.2">
      <c r="A44" s="409">
        <v>43</v>
      </c>
      <c r="B44" s="182" t="s">
        <v>735</v>
      </c>
      <c r="C44" s="182" t="s">
        <v>736</v>
      </c>
      <c r="D44" s="182" t="s">
        <v>984</v>
      </c>
      <c r="E44" s="183" t="s">
        <v>510</v>
      </c>
      <c r="F44" s="183" t="s">
        <v>511</v>
      </c>
      <c r="G44" s="183" t="s">
        <v>328</v>
      </c>
      <c r="K44" s="179" t="s">
        <v>581</v>
      </c>
      <c r="L44" s="179" t="str">
        <f t="shared" si="11"/>
        <v>043 Nákladové úroky a podobné náklady</v>
      </c>
      <c r="M44" s="178" t="str">
        <f t="shared" si="9"/>
        <v>Nákladové úroky a podobné náklady</v>
      </c>
    </row>
    <row r="45" spans="1:13" x14ac:dyDescent="0.2">
      <c r="A45" s="190">
        <v>44</v>
      </c>
      <c r="B45" s="182" t="s">
        <v>737</v>
      </c>
      <c r="C45" s="182" t="s">
        <v>985</v>
      </c>
      <c r="D45" s="182" t="s">
        <v>986</v>
      </c>
      <c r="E45" s="183" t="s">
        <v>510</v>
      </c>
      <c r="F45" s="183" t="s">
        <v>511</v>
      </c>
      <c r="G45" s="183" t="s">
        <v>328</v>
      </c>
      <c r="H45" s="410" t="s">
        <v>323</v>
      </c>
      <c r="I45" s="183" t="s">
        <v>240</v>
      </c>
      <c r="J45" s="414"/>
      <c r="K45" s="411"/>
      <c r="L45" s="411" t="str">
        <f t="shared" si="11"/>
        <v>044 Nákladové úroky a podobné náklady - ovládaná nebo ovládající osoba</v>
      </c>
      <c r="M45" s="412" t="str">
        <f t="shared" si="9"/>
        <v>Nákladové úroky a podobné náklady - ovládaná nebo ovládající osoba</v>
      </c>
    </row>
    <row r="46" spans="1:13" x14ac:dyDescent="0.2">
      <c r="A46" s="409">
        <v>45</v>
      </c>
      <c r="B46" s="182" t="s">
        <v>738</v>
      </c>
      <c r="C46" s="182" t="s">
        <v>987</v>
      </c>
      <c r="D46" s="182" t="s">
        <v>988</v>
      </c>
      <c r="E46" s="183" t="s">
        <v>510</v>
      </c>
      <c r="F46" s="183" t="s">
        <v>511</v>
      </c>
      <c r="G46" s="183" t="s">
        <v>328</v>
      </c>
      <c r="H46" s="410" t="s">
        <v>323</v>
      </c>
      <c r="I46" s="183" t="s">
        <v>241</v>
      </c>
      <c r="K46" s="179" t="s">
        <v>581</v>
      </c>
      <c r="L46" s="179" t="str">
        <f t="shared" si="11"/>
        <v>045 Ostatní nákladové úroky a podobné náklady</v>
      </c>
      <c r="M46" s="178" t="str">
        <f t="shared" si="9"/>
        <v>Ostatní nákladové úroky a podobné náklady</v>
      </c>
    </row>
    <row r="47" spans="1:13" x14ac:dyDescent="0.2">
      <c r="A47" s="190">
        <v>46</v>
      </c>
      <c r="B47" s="182" t="s">
        <v>216</v>
      </c>
      <c r="C47" s="182" t="s">
        <v>487</v>
      </c>
      <c r="D47" s="182" t="s">
        <v>502</v>
      </c>
      <c r="E47" s="183" t="s">
        <v>510</v>
      </c>
      <c r="F47" s="183" t="s">
        <v>513</v>
      </c>
      <c r="G47" s="183" t="s">
        <v>328</v>
      </c>
      <c r="H47" s="183" t="s">
        <v>324</v>
      </c>
      <c r="K47" s="179" t="s">
        <v>581</v>
      </c>
      <c r="L47" s="179" t="str">
        <f t="shared" si="11"/>
        <v>046 Ostatní finanční výnosy</v>
      </c>
      <c r="M47" s="178" t="str">
        <f t="shared" si="9"/>
        <v>Ostatní finanční výnosy</v>
      </c>
    </row>
    <row r="48" spans="1:13" x14ac:dyDescent="0.2">
      <c r="A48" s="409">
        <v>47</v>
      </c>
      <c r="B48" s="182" t="s">
        <v>185</v>
      </c>
      <c r="C48" s="182" t="s">
        <v>488</v>
      </c>
      <c r="D48" s="182" t="s">
        <v>503</v>
      </c>
      <c r="E48" s="183" t="s">
        <v>510</v>
      </c>
      <c r="F48" s="183" t="s">
        <v>511</v>
      </c>
      <c r="G48" s="183" t="s">
        <v>328</v>
      </c>
      <c r="H48" s="183" t="s">
        <v>325</v>
      </c>
      <c r="K48" s="179" t="s">
        <v>581</v>
      </c>
      <c r="L48" s="179" t="str">
        <f t="shared" si="11"/>
        <v>047 Ostatní finanční náklady</v>
      </c>
      <c r="M48" s="178" t="str">
        <f t="shared" si="9"/>
        <v>Ostatní finanční náklady</v>
      </c>
    </row>
    <row r="49" spans="1:13" x14ac:dyDescent="0.2">
      <c r="A49" s="409">
        <v>48</v>
      </c>
      <c r="B49" s="182" t="s">
        <v>989</v>
      </c>
      <c r="C49" s="182" t="s">
        <v>990</v>
      </c>
      <c r="D49" s="182" t="s">
        <v>991</v>
      </c>
      <c r="E49" s="183" t="s">
        <v>510</v>
      </c>
      <c r="F49" s="183" t="s">
        <v>309</v>
      </c>
      <c r="K49" s="179" t="s">
        <v>581</v>
      </c>
      <c r="L49" s="179" t="str">
        <f t="shared" si="11"/>
        <v>-</v>
      </c>
      <c r="M49" s="178" t="str">
        <f t="shared" si="9"/>
        <v>Finanční výsledek hospodaření      +/-</v>
      </c>
    </row>
    <row r="50" spans="1:13" x14ac:dyDescent="0.2">
      <c r="A50" s="190">
        <v>49</v>
      </c>
      <c r="B50" s="182" t="s">
        <v>992</v>
      </c>
      <c r="C50" s="182" t="s">
        <v>993</v>
      </c>
      <c r="D50" s="182" t="s">
        <v>994</v>
      </c>
      <c r="E50" s="183" t="s">
        <v>510</v>
      </c>
      <c r="F50" s="183" t="s">
        <v>309</v>
      </c>
      <c r="K50" s="179" t="s">
        <v>581</v>
      </c>
      <c r="L50" s="179" t="str">
        <f t="shared" si="11"/>
        <v>-</v>
      </c>
      <c r="M50" s="178" t="str">
        <f t="shared" si="9"/>
        <v>Výsledek hospodaření před zdaněním      +/-</v>
      </c>
    </row>
    <row r="51" spans="1:13" x14ac:dyDescent="0.2">
      <c r="A51" s="409">
        <v>50</v>
      </c>
      <c r="B51" s="182" t="s">
        <v>80</v>
      </c>
      <c r="C51" s="182" t="s">
        <v>741</v>
      </c>
      <c r="D51" s="182" t="s">
        <v>995</v>
      </c>
      <c r="E51" s="183" t="s">
        <v>510</v>
      </c>
      <c r="F51" s="183" t="s">
        <v>309</v>
      </c>
      <c r="K51" s="179" t="s">
        <v>581</v>
      </c>
      <c r="L51" s="179" t="str">
        <f t="shared" si="11"/>
        <v>-</v>
      </c>
      <c r="M51" s="178" t="str">
        <f t="shared" si="9"/>
        <v>Daň z příjmů</v>
      </c>
    </row>
    <row r="52" spans="1:13" x14ac:dyDescent="0.2">
      <c r="A52" s="190">
        <v>51</v>
      </c>
      <c r="B52" s="182" t="s">
        <v>739</v>
      </c>
      <c r="C52" s="182" t="s">
        <v>742</v>
      </c>
      <c r="D52" s="182" t="s">
        <v>996</v>
      </c>
      <c r="E52" s="183" t="s">
        <v>510</v>
      </c>
      <c r="F52" s="183" t="s">
        <v>511</v>
      </c>
      <c r="G52" s="183" t="s">
        <v>328</v>
      </c>
      <c r="H52" s="183" t="s">
        <v>326</v>
      </c>
      <c r="I52" s="183" t="s">
        <v>240</v>
      </c>
      <c r="K52" s="179" t="s">
        <v>581</v>
      </c>
      <c r="L52" s="179" t="str">
        <f t="shared" si="11"/>
        <v>051 Daň z příjmů splatná</v>
      </c>
      <c r="M52" s="178" t="str">
        <f t="shared" si="9"/>
        <v>Daň z příjmů splatná</v>
      </c>
    </row>
    <row r="53" spans="1:13" x14ac:dyDescent="0.2">
      <c r="A53" s="409">
        <v>52</v>
      </c>
      <c r="B53" s="182" t="s">
        <v>740</v>
      </c>
      <c r="C53" s="182" t="s">
        <v>997</v>
      </c>
      <c r="D53" s="182" t="s">
        <v>998</v>
      </c>
      <c r="E53" s="183" t="s">
        <v>510</v>
      </c>
      <c r="F53" s="183" t="s">
        <v>511</v>
      </c>
      <c r="G53" s="183" t="s">
        <v>328</v>
      </c>
      <c r="H53" s="183" t="s">
        <v>326</v>
      </c>
      <c r="I53" s="183" t="s">
        <v>241</v>
      </c>
      <c r="K53" s="179" t="s">
        <v>581</v>
      </c>
      <c r="L53" s="179" t="str">
        <f t="shared" si="11"/>
        <v>052 Daň z příjmů odložená</v>
      </c>
      <c r="M53" s="178" t="str">
        <f t="shared" si="9"/>
        <v>Daň z příjmů odložená</v>
      </c>
    </row>
    <row r="54" spans="1:13" x14ac:dyDescent="0.2">
      <c r="A54" s="409">
        <v>53</v>
      </c>
      <c r="B54" s="182" t="s">
        <v>999</v>
      </c>
      <c r="C54" s="182" t="s">
        <v>1000</v>
      </c>
      <c r="D54" s="182" t="s">
        <v>1001</v>
      </c>
      <c r="E54" s="183" t="s">
        <v>510</v>
      </c>
      <c r="F54" s="183" t="s">
        <v>309</v>
      </c>
      <c r="K54" s="179" t="s">
        <v>581</v>
      </c>
      <c r="L54" s="179" t="str">
        <f t="shared" si="11"/>
        <v>-</v>
      </c>
      <c r="M54" s="178" t="str">
        <f t="shared" si="9"/>
        <v>Výsledek hospodaření po zdanění      +/-</v>
      </c>
    </row>
    <row r="55" spans="1:13" x14ac:dyDescent="0.2">
      <c r="A55" s="190">
        <v>54</v>
      </c>
      <c r="B55" s="182" t="s">
        <v>1002</v>
      </c>
      <c r="C55" s="182" t="s">
        <v>1003</v>
      </c>
      <c r="D55" s="182" t="s">
        <v>1004</v>
      </c>
      <c r="E55" s="183" t="s">
        <v>510</v>
      </c>
      <c r="F55" s="183" t="s">
        <v>513</v>
      </c>
      <c r="G55" s="183" t="s">
        <v>328</v>
      </c>
      <c r="H55" s="183" t="s">
        <v>327</v>
      </c>
      <c r="K55" s="179" t="s">
        <v>581</v>
      </c>
      <c r="L55" s="179" t="str">
        <f t="shared" si="11"/>
        <v>054 Převod podílu na výsledku hospodaření společníkům      +/-</v>
      </c>
      <c r="M55" s="178" t="str">
        <f t="shared" si="9"/>
        <v>Převod podílu na výsledku hospodaření společníkům      +/-</v>
      </c>
    </row>
    <row r="56" spans="1:13" x14ac:dyDescent="0.2">
      <c r="A56" s="409">
        <v>55</v>
      </c>
      <c r="B56" s="182" t="s">
        <v>1005</v>
      </c>
      <c r="C56" s="182" t="s">
        <v>1006</v>
      </c>
      <c r="D56" s="182" t="s">
        <v>1007</v>
      </c>
      <c r="E56" s="183" t="s">
        <v>510</v>
      </c>
      <c r="F56" s="183" t="s">
        <v>309</v>
      </c>
      <c r="K56" s="179" t="s">
        <v>581</v>
      </c>
      <c r="L56" s="179" t="str">
        <f t="shared" si="11"/>
        <v>-</v>
      </c>
      <c r="M56" s="178" t="str">
        <f t="shared" si="9"/>
        <v>Výsledek hospodaření za účetní období      +/-</v>
      </c>
    </row>
    <row r="57" spans="1:13" x14ac:dyDescent="0.2">
      <c r="A57" s="190">
        <v>56</v>
      </c>
      <c r="B57" s="182" t="s">
        <v>1008</v>
      </c>
      <c r="C57" s="182" t="s">
        <v>1009</v>
      </c>
      <c r="D57" s="182" t="s">
        <v>1010</v>
      </c>
      <c r="E57" s="183" t="s">
        <v>510</v>
      </c>
      <c r="F57" s="183" t="s">
        <v>309</v>
      </c>
      <c r="K57" s="179" t="s">
        <v>581</v>
      </c>
      <c r="L57" s="179" t="str">
        <f t="shared" si="5"/>
        <v>-</v>
      </c>
      <c r="M57" s="178" t="str">
        <f t="shared" si="9"/>
        <v>Čistý obrat za účetní období (I. + II. + III. + IV. + V. + VI. + VII.)</v>
      </c>
    </row>
  </sheetData>
  <sortState ref="A2:J4">
    <sortCondition ref="A2:A4"/>
  </sortState>
  <pageMargins left="0.7" right="0.7" top="0.78740157499999996" bottom="0.78740157499999996" header="0.3" footer="0.3"/>
  <pageSetup orientation="portrait" horizontalDpi="4294967294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10</vt:i4>
      </vt:variant>
    </vt:vector>
  </HeadingPairs>
  <TitlesOfParts>
    <vt:vector size="19" baseType="lpstr">
      <vt:lpstr>postup</vt:lpstr>
      <vt:lpstr>INDEX</vt:lpstr>
      <vt:lpstr>data</vt:lpstr>
      <vt:lpstr>AKTIVA</vt:lpstr>
      <vt:lpstr>PASIVA</vt:lpstr>
      <vt:lpstr>VYSLEDOVKA</vt:lpstr>
      <vt:lpstr>ucty_synt</vt:lpstr>
      <vt:lpstr>radky_R</vt:lpstr>
      <vt:lpstr>radky_V</vt:lpstr>
      <vt:lpstr>jazyk</vt:lpstr>
      <vt:lpstr>AKTIVA!Názvy_tisku</vt:lpstr>
      <vt:lpstr>data!Názvy_tisku</vt:lpstr>
      <vt:lpstr>PASIVA!Názvy_tisku</vt:lpstr>
      <vt:lpstr>VYSLEDOVKA!Názvy_tisku</vt:lpstr>
      <vt:lpstr>AKTIVA!Oblast_tisku</vt:lpstr>
      <vt:lpstr>INDEX!Oblast_tisku</vt:lpstr>
      <vt:lpstr>PASIVA!Oblast_tisku</vt:lpstr>
      <vt:lpstr>VYSLEDOVKA!Oblast_tisku</vt:lpstr>
      <vt:lpstr>zaokr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Finanční výkazy 2013</dc:title>
  <dc:subject>Finanční výkazy 2013</dc:subject>
  <dc:creator>CB AUDIT s.r.o.</dc:creator>
  <cp:lastModifiedBy>fuchance</cp:lastModifiedBy>
  <cp:lastPrinted>2016-02-21T12:15:15Z</cp:lastPrinted>
  <dcterms:created xsi:type="dcterms:W3CDTF">2008-02-14T07:20:01Z</dcterms:created>
  <dcterms:modified xsi:type="dcterms:W3CDTF">2016-06-06T18:45:47Z</dcterms:modified>
</cp:coreProperties>
</file>